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90" windowWidth="19440" windowHeight="14970" tabRatio="899" firstSheet="18"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清单"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土地比较法-住宅、综合" sheetId="39" r:id="rId21"/>
    <sheet name="成本法 (元)" sheetId="69" state="hidden" r:id="rId22"/>
    <sheet name="假设开发法" sheetId="12" state="hidden" r:id="rId23"/>
    <sheet name="收益法（汇总）" sheetId="70" r:id="rId24"/>
    <sheet name="收益法" sheetId="15" r:id="rId25"/>
    <sheet name="收益法-办公" sheetId="79" r:id="rId26"/>
    <sheet name="收益法 (元)" sheetId="67" state="hidden" r:id="rId27"/>
    <sheet name="收益法-酒店模型" sheetId="77"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3" sheetId="80" r:id="rId47"/>
    <sheet name="Sheet1" sheetId="81" r:id="rId48"/>
  </sheets>
  <externalReferences>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2">假设开发法!$A$1:$K$32</definedName>
    <definedName name="_xlnm.Print_Area" localSheetId="18">结果表!$A$1:$I$127</definedName>
    <definedName name="_xlnm.Print_Area" localSheetId="24">收益法!$A$1:$F$43,收益法!$H$3:$M$29,收益法!$A$46:$F$71,收益法!$I$46:$N$65</definedName>
    <definedName name="_xlnm.Print_Area" localSheetId="26">'收益法 (元)'!$A$1:$F$43,'收益法 (元)'!$H$3:$M$29,'收益法 (元)'!$A$45:$F$71,'收益法 (元)'!$I$46:$N$65</definedName>
    <definedName name="_xlnm.Print_Area" localSheetId="23">'收益法（汇总）'!$A$1:$F$13</definedName>
    <definedName name="_xlnm.Print_Area" localSheetId="25">'收益法-办公'!$A$1:$F$43,'收益法-办公'!$H$3:$M$29,'收益法-办公'!$A$46:$F$71,'收益法-办公'!$I$46:$N$65</definedName>
    <definedName name="_xlnm.Print_Area" localSheetId="14">'数据-汇总表'!$A$1:$P$32</definedName>
    <definedName name="_xlnm.Print_Area" localSheetId="34">'土地比较法-工业'!$A$1:$K$61,'土地比较法-工业'!$A$64:$M$121</definedName>
    <definedName name="_xlnm.Print_Area" localSheetId="20">'土地比较法-住宅、综合'!$A$1:$K$66,'土地比较法-住宅、综合'!$A$69:$M$132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56" i="78" l="1"/>
  <c r="G54" i="78"/>
  <c r="A3" i="3"/>
  <c r="P12" i="78" l="1"/>
  <c r="P16" i="78" s="1"/>
  <c r="P15" i="78"/>
  <c r="D69" i="78" l="1"/>
  <c r="D70" i="78"/>
  <c r="D71" i="78"/>
  <c r="D72" i="78"/>
  <c r="D73" i="78"/>
  <c r="D74" i="78"/>
  <c r="D68" i="78"/>
  <c r="D51" i="78"/>
  <c r="D52" i="78"/>
  <c r="D53" i="78"/>
  <c r="D54" i="78"/>
  <c r="D55" i="78"/>
  <c r="D56" i="78"/>
  <c r="D57" i="78"/>
  <c r="D58" i="78"/>
  <c r="D59" i="78"/>
  <c r="D60" i="78"/>
  <c r="D61" i="78"/>
  <c r="D62" i="78"/>
  <c r="D63" i="78"/>
  <c r="D64" i="78"/>
  <c r="D65" i="78"/>
  <c r="D66" i="78"/>
  <c r="D67" i="78"/>
  <c r="D50" i="78"/>
  <c r="D47" i="78"/>
  <c r="D45" i="78"/>
  <c r="D48" i="78"/>
  <c r="D46" i="78"/>
  <c r="D49" i="78"/>
  <c r="D44" i="78"/>
  <c r="D75" i="78" l="1"/>
  <c r="L7" i="1"/>
  <c r="E57" i="39" l="1"/>
  <c r="T106" i="81"/>
  <c r="T105" i="81"/>
  <c r="L21" i="78"/>
  <c r="J17" i="78"/>
  <c r="D35" i="78"/>
  <c r="T65" i="81"/>
  <c r="T38" i="81"/>
  <c r="T37" i="81"/>
  <c r="T19" i="81"/>
  <c r="T18" i="81"/>
  <c r="T17" i="81"/>
  <c r="T104" i="81"/>
  <c r="U104" i="81" s="1"/>
  <c r="W103" i="81"/>
  <c r="T103" i="81"/>
  <c r="U103" i="81" s="1"/>
  <c r="W102" i="81"/>
  <c r="T102" i="81"/>
  <c r="W101" i="81"/>
  <c r="T101" i="81"/>
  <c r="U101" i="81" s="1"/>
  <c r="W100" i="81"/>
  <c r="T100" i="81"/>
  <c r="U100" i="81" s="1"/>
  <c r="W99" i="81"/>
  <c r="U99" i="81"/>
  <c r="T99" i="81"/>
  <c r="W98" i="81"/>
  <c r="T98" i="81"/>
  <c r="U98" i="81" s="1"/>
  <c r="T96" i="81"/>
  <c r="W95" i="81"/>
  <c r="T95" i="81"/>
  <c r="T94" i="81"/>
  <c r="U94" i="81" s="1"/>
  <c r="W93" i="81"/>
  <c r="T93" i="81"/>
  <c r="W92" i="81"/>
  <c r="T92" i="81"/>
  <c r="U92" i="81" s="1"/>
  <c r="W91" i="81"/>
  <c r="T91" i="81"/>
  <c r="U91" i="81" s="1"/>
  <c r="W90" i="81"/>
  <c r="T90" i="81"/>
  <c r="U90" i="81" s="1"/>
  <c r="W89" i="81"/>
  <c r="T89" i="81"/>
  <c r="U89" i="81" s="1"/>
  <c r="W88" i="81"/>
  <c r="T88" i="81"/>
  <c r="U87" i="81"/>
  <c r="W86" i="81"/>
  <c r="T86" i="81"/>
  <c r="U86" i="81" s="1"/>
  <c r="AB84" i="81"/>
  <c r="W84" i="81"/>
  <c r="T84" i="81"/>
  <c r="U84" i="81" s="1"/>
  <c r="W83" i="81"/>
  <c r="T83" i="81"/>
  <c r="U83" i="81" s="1"/>
  <c r="W82" i="81"/>
  <c r="U82" i="81"/>
  <c r="T82" i="81"/>
  <c r="W81" i="81"/>
  <c r="T81" i="81"/>
  <c r="W80" i="81"/>
  <c r="T80" i="81"/>
  <c r="U80" i="81" s="1"/>
  <c r="W79" i="81"/>
  <c r="T79" i="81"/>
  <c r="U79" i="81" s="1"/>
  <c r="W78" i="81"/>
  <c r="T78" i="81"/>
  <c r="U78" i="81" s="1"/>
  <c r="W77" i="81"/>
  <c r="T77" i="81"/>
  <c r="W76" i="81"/>
  <c r="T76" i="81"/>
  <c r="W75" i="81"/>
  <c r="T75" i="81"/>
  <c r="U75" i="81" s="1"/>
  <c r="W74" i="81"/>
  <c r="T74" i="81"/>
  <c r="W73" i="81"/>
  <c r="T73" i="81"/>
  <c r="U73" i="81" s="1"/>
  <c r="W72" i="81"/>
  <c r="T72" i="81"/>
  <c r="U72" i="81" s="1"/>
  <c r="W71" i="81"/>
  <c r="T71" i="81"/>
  <c r="U71" i="81" s="1"/>
  <c r="W70" i="81"/>
  <c r="U70" i="81"/>
  <c r="T70" i="81"/>
  <c r="W69" i="81"/>
  <c r="T69" i="81"/>
  <c r="W68" i="81"/>
  <c r="T68" i="81"/>
  <c r="W67" i="81"/>
  <c r="T67" i="81"/>
  <c r="U67" i="81" s="1"/>
  <c r="W66" i="81"/>
  <c r="T66" i="81"/>
  <c r="U66" i="81" s="1"/>
  <c r="W64" i="81"/>
  <c r="T64" i="81"/>
  <c r="U64" i="81" s="1"/>
  <c r="W63" i="81"/>
  <c r="T63" i="81"/>
  <c r="U63" i="81" s="1"/>
  <c r="W62" i="81"/>
  <c r="T62" i="81"/>
  <c r="U62" i="81" s="1"/>
  <c r="W61" i="81"/>
  <c r="T61" i="81"/>
  <c r="U61" i="81" s="1"/>
  <c r="W60" i="81"/>
  <c r="T60" i="81"/>
  <c r="U60" i="81" s="1"/>
  <c r="W59" i="81"/>
  <c r="T59" i="81"/>
  <c r="W58" i="81"/>
  <c r="U58" i="81"/>
  <c r="T58" i="81"/>
  <c r="W57" i="81"/>
  <c r="T57" i="81"/>
  <c r="U57" i="81" s="1"/>
  <c r="W56" i="81"/>
  <c r="T56" i="81"/>
  <c r="U56" i="81" s="1"/>
  <c r="W55" i="81"/>
  <c r="T55" i="81"/>
  <c r="U55" i="81" s="1"/>
  <c r="W54" i="81"/>
  <c r="T54" i="81"/>
  <c r="W53" i="81"/>
  <c r="T53" i="81"/>
  <c r="U53" i="81" s="1"/>
  <c r="W52" i="81"/>
  <c r="T52" i="81"/>
  <c r="W51" i="81"/>
  <c r="T51" i="81"/>
  <c r="W50" i="81"/>
  <c r="T50" i="81"/>
  <c r="W49" i="81"/>
  <c r="T49" i="81"/>
  <c r="U49" i="81" s="1"/>
  <c r="W48" i="81"/>
  <c r="T48" i="81"/>
  <c r="U48" i="81" s="1"/>
  <c r="W47" i="81"/>
  <c r="T47" i="81"/>
  <c r="U47" i="81" s="1"/>
  <c r="W46" i="81"/>
  <c r="U46" i="81"/>
  <c r="T46" i="81"/>
  <c r="W45" i="81"/>
  <c r="T45" i="81"/>
  <c r="U45" i="81" s="1"/>
  <c r="W44" i="81"/>
  <c r="T44" i="81"/>
  <c r="U44" i="81" s="1"/>
  <c r="W43" i="81"/>
  <c r="T43" i="81"/>
  <c r="U43" i="81" s="1"/>
  <c r="T42" i="81"/>
  <c r="U42" i="81" s="1"/>
  <c r="W41" i="81"/>
  <c r="T41" i="81"/>
  <c r="U41" i="81" s="1"/>
  <c r="T40" i="81"/>
  <c r="W39" i="81"/>
  <c r="T39" i="81"/>
  <c r="U39" i="81" s="1"/>
  <c r="W37" i="81"/>
  <c r="U37" i="81"/>
  <c r="W36" i="81"/>
  <c r="T36" i="81"/>
  <c r="W35" i="81"/>
  <c r="T35" i="81"/>
  <c r="U35" i="81" s="1"/>
  <c r="W34" i="81"/>
  <c r="U34" i="81"/>
  <c r="W33" i="81"/>
  <c r="T33" i="81"/>
  <c r="U33" i="81" s="1"/>
  <c r="W32" i="81"/>
  <c r="T32" i="81"/>
  <c r="U32" i="81" s="1"/>
  <c r="W31" i="81"/>
  <c r="T31" i="81"/>
  <c r="U31" i="81" s="1"/>
  <c r="W30" i="81"/>
  <c r="T30" i="81"/>
  <c r="W29" i="81"/>
  <c r="T29" i="81"/>
  <c r="U29" i="81" s="1"/>
  <c r="W28" i="81"/>
  <c r="U28" i="81"/>
  <c r="T28" i="81"/>
  <c r="W27" i="81"/>
  <c r="T27" i="81"/>
  <c r="U27" i="81" s="1"/>
  <c r="U26" i="81"/>
  <c r="W25" i="81"/>
  <c r="T25" i="81"/>
  <c r="U25" i="81" s="1"/>
  <c r="U24" i="81"/>
  <c r="W23" i="81"/>
  <c r="T23" i="81"/>
  <c r="W22" i="81"/>
  <c r="T22" i="81"/>
  <c r="U22" i="81" s="1"/>
  <c r="W21" i="81"/>
  <c r="T21" i="81"/>
  <c r="T20" i="81"/>
  <c r="U20" i="81" s="1"/>
  <c r="U18" i="81"/>
  <c r="W16" i="81"/>
  <c r="T16" i="81"/>
  <c r="T15" i="81"/>
  <c r="U15" i="81" s="1"/>
  <c r="T14" i="81"/>
  <c r="W13" i="81"/>
  <c r="T13" i="81"/>
  <c r="U12" i="81"/>
  <c r="T12" i="81"/>
  <c r="W11" i="81"/>
  <c r="T11" i="81"/>
  <c r="U11" i="81" s="1"/>
  <c r="W10" i="81"/>
  <c r="T10" i="81"/>
  <c r="U10" i="81" s="1"/>
  <c r="W9" i="81"/>
  <c r="T9" i="81"/>
  <c r="U9" i="81" s="1"/>
  <c r="W8" i="81"/>
  <c r="T8" i="81"/>
  <c r="U8" i="81" s="1"/>
  <c r="W7" i="81"/>
  <c r="T7" i="81"/>
  <c r="U7" i="81" s="1"/>
  <c r="W6" i="81"/>
  <c r="T6" i="81"/>
  <c r="U6" i="81" s="1"/>
  <c r="W5" i="81"/>
  <c r="T5" i="81"/>
  <c r="U5" i="81" s="1"/>
  <c r="I46" i="39" l="1"/>
  <c r="G46" i="39"/>
  <c r="E46" i="39"/>
  <c r="I38" i="39"/>
  <c r="G38" i="39"/>
  <c r="E38" i="39"/>
  <c r="I7" i="39"/>
  <c r="G7" i="39"/>
  <c r="E7" i="39"/>
  <c r="I5" i="39"/>
  <c r="G5" i="39"/>
  <c r="E5" i="39"/>
  <c r="G106" i="78"/>
  <c r="G107" i="78"/>
  <c r="G108" i="78"/>
  <c r="G105" i="78"/>
  <c r="J108" i="78"/>
  <c r="J107" i="78"/>
  <c r="J106" i="78"/>
  <c r="T25" i="1"/>
  <c r="T24" i="1"/>
  <c r="T23" i="1"/>
  <c r="T21" i="1"/>
  <c r="Q22" i="1"/>
  <c r="Q23" i="1"/>
  <c r="Q24" i="1"/>
  <c r="Q25" i="1"/>
  <c r="R21" i="1"/>
  <c r="Q21" i="1"/>
  <c r="N6" i="1"/>
  <c r="Y7" i="1" s="1"/>
  <c r="Q72" i="79"/>
  <c r="Q59" i="79"/>
  <c r="K59" i="79"/>
  <c r="P74" i="79" s="1"/>
  <c r="F59" i="79"/>
  <c r="Q58" i="79"/>
  <c r="Q51" i="79"/>
  <c r="J50" i="79"/>
  <c r="M47" i="79"/>
  <c r="D46" i="79"/>
  <c r="F33" i="79"/>
  <c r="F61" i="79" s="1"/>
  <c r="F31" i="79"/>
  <c r="F23" i="79"/>
  <c r="D23" i="79" s="1"/>
  <c r="F21" i="79"/>
  <c r="F20" i="79"/>
  <c r="M19" i="79"/>
  <c r="F18" i="79"/>
  <c r="M17" i="79"/>
  <c r="F17" i="79"/>
  <c r="F15" i="79"/>
  <c r="O13" i="3"/>
  <c r="M13" i="3"/>
  <c r="I13" i="3"/>
  <c r="F20" i="6" s="1"/>
  <c r="D38" i="78"/>
  <c r="J20" i="78" s="1"/>
  <c r="D37" i="78"/>
  <c r="J19" i="78" s="1"/>
  <c r="D36" i="78"/>
  <c r="J18" i="78" s="1"/>
  <c r="H106" i="78" s="1"/>
  <c r="B35" i="78"/>
  <c r="B74" i="78"/>
  <c r="B73" i="78"/>
  <c r="B72" i="78"/>
  <c r="B71" i="78"/>
  <c r="B70" i="78"/>
  <c r="B69" i="78"/>
  <c r="B68" i="78"/>
  <c r="B67" i="78"/>
  <c r="B66" i="78"/>
  <c r="B65" i="78"/>
  <c r="B64" i="78"/>
  <c r="B63" i="78"/>
  <c r="B62" i="78"/>
  <c r="B61" i="78"/>
  <c r="B60" i="78"/>
  <c r="B59" i="78"/>
  <c r="B58" i="78"/>
  <c r="B57" i="78"/>
  <c r="B56" i="78"/>
  <c r="B55" i="78"/>
  <c r="B54" i="78"/>
  <c r="B53" i="78"/>
  <c r="B52" i="78"/>
  <c r="B51" i="78"/>
  <c r="B50" i="78"/>
  <c r="B49" i="78"/>
  <c r="B46" i="78"/>
  <c r="B48" i="78"/>
  <c r="B45" i="78"/>
  <c r="B47" i="78"/>
  <c r="B44" i="78"/>
  <c r="K13" i="3" l="1"/>
  <c r="F19" i="6" s="1"/>
  <c r="G19" i="6"/>
  <c r="H105" i="78"/>
  <c r="R22" i="1"/>
  <c r="H107" i="78"/>
  <c r="R24" i="1"/>
  <c r="H108" i="78"/>
  <c r="R25" i="1"/>
  <c r="R23" i="1"/>
  <c r="Y6" i="1"/>
  <c r="D39" i="78"/>
  <c r="N7" i="1"/>
  <c r="P61" i="79"/>
  <c r="D24" i="79"/>
  <c r="D22" i="79"/>
  <c r="R26" i="1" l="1"/>
  <c r="R28" i="1" s="1"/>
  <c r="H109" i="78"/>
  <c r="K106" i="78" s="1"/>
  <c r="U24" i="1" l="1"/>
  <c r="U25" i="1"/>
  <c r="U22" i="1"/>
  <c r="U21" i="1"/>
  <c r="U23" i="1"/>
  <c r="K108" i="78"/>
  <c r="K105" i="78"/>
  <c r="K107" i="78"/>
  <c r="T26" i="1" l="1"/>
  <c r="T28" i="1" s="1"/>
  <c r="J109" i="78"/>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D29" i="77"/>
  <c r="E23" i="77"/>
  <c r="D26" i="77"/>
  <c r="D32" i="77" s="1"/>
  <c r="C29" i="77"/>
  <c r="C32" i="77" s="1"/>
  <c r="C38" i="77" s="1"/>
  <c r="C39" i="77" s="1"/>
  <c r="R35" i="77"/>
  <c r="U34" i="77" s="1"/>
  <c r="AH5" i="71"/>
  <c r="AG5" i="71"/>
  <c r="AE5" i="71"/>
  <c r="AF5" i="71" s="1"/>
  <c r="AD5" i="71"/>
  <c r="Q5" i="71"/>
  <c r="P5" i="71"/>
  <c r="O5" i="71"/>
  <c r="N5" i="71"/>
  <c r="R25" i="77" l="1"/>
  <c r="R19" i="77"/>
  <c r="R5" i="77" s="1"/>
  <c r="U5" i="77" s="1"/>
  <c r="E26" i="77"/>
  <c r="E38" i="77"/>
  <c r="E39" i="77" s="1"/>
  <c r="C40" i="77" s="1"/>
  <c r="E29" i="77"/>
  <c r="E32" i="77" s="1"/>
  <c r="AH6" i="71"/>
  <c r="AG6" i="71"/>
  <c r="AE6" i="71"/>
  <c r="AF6" i="71" s="1"/>
  <c r="AD6" i="71"/>
  <c r="Q6" i="71"/>
  <c r="P6" i="71"/>
  <c r="O6" i="71"/>
  <c r="N6" i="71"/>
  <c r="B2" i="77" l="1"/>
  <c r="B3" i="77" s="1"/>
  <c r="C41" i="77"/>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P9" i="71"/>
  <c r="O9" i="71"/>
  <c r="N9"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P10" i="71"/>
  <c r="O10" i="71"/>
  <c r="N10" i="71"/>
  <c r="AH11" i="71" l="1"/>
  <c r="AG11" i="71"/>
  <c r="AE11" i="71"/>
  <c r="AF11" i="71" s="1"/>
  <c r="AD11" i="71"/>
  <c r="Q11" i="71"/>
  <c r="P11" i="71"/>
  <c r="O11" i="71"/>
  <c r="N11" i="71"/>
  <c r="Q13" i="71" l="1"/>
  <c r="P13" i="71"/>
  <c r="O13" i="71"/>
  <c r="N13" i="71"/>
  <c r="AH12" i="71"/>
  <c r="AG12" i="71"/>
  <c r="AE12" i="71"/>
  <c r="AF12" i="71"/>
  <c r="AD12" i="71"/>
  <c r="Q12" i="71"/>
  <c r="P12" i="71"/>
  <c r="O12" i="71"/>
  <c r="N12" i="71"/>
  <c r="AH13" i="71"/>
  <c r="AG13" i="71"/>
  <c r="AE13" i="71"/>
  <c r="AF13" i="71" s="1"/>
  <c r="AD13" i="71"/>
  <c r="Q14" i="71"/>
  <c r="Q15" i="71"/>
  <c r="P14" i="71"/>
  <c r="P15" i="71"/>
  <c r="O14" i="71"/>
  <c r="O15" i="71"/>
  <c r="N14" i="71"/>
  <c r="N15" i="71"/>
  <c r="AH14" i="71"/>
  <c r="AG14" i="71"/>
  <c r="AE14" i="71"/>
  <c r="AF14" i="71" s="1"/>
  <c r="AD14" i="71"/>
  <c r="F24" i="12"/>
  <c r="F7" i="69"/>
  <c r="F7" i="68"/>
  <c r="M15" i="45"/>
  <c r="L15" i="45"/>
  <c r="K15" i="45"/>
  <c r="J15" i="45"/>
  <c r="I15" i="45"/>
  <c r="H15" i="45"/>
  <c r="G15" i="45"/>
  <c r="F15" i="45"/>
  <c r="E15" i="45"/>
  <c r="D15" i="45"/>
  <c r="C15" i="45"/>
  <c r="B15" i="45"/>
  <c r="AH15" i="71"/>
  <c r="AG15" i="71"/>
  <c r="AE15" i="71"/>
  <c r="AF15" i="71" s="1"/>
  <c r="AD15" i="71"/>
  <c r="AD16" i="71"/>
  <c r="AH16" i="71"/>
  <c r="AG16" i="71"/>
  <c r="AE16" i="71"/>
  <c r="AF16" i="71" s="1"/>
  <c r="Q16" i="71"/>
  <c r="P16" i="71"/>
  <c r="O16" i="71"/>
  <c r="N16" i="71"/>
  <c r="L3" i="71"/>
  <c r="AH3" i="71" s="1"/>
  <c r="K3" i="71"/>
  <c r="AG3" i="71" s="1"/>
  <c r="J3" i="71"/>
  <c r="AE3" i="71" s="1"/>
  <c r="I3" i="71"/>
  <c r="AH17" i="71"/>
  <c r="AG17" i="71"/>
  <c r="AE17" i="71"/>
  <c r="AF17" i="71" s="1"/>
  <c r="AD17" i="71"/>
  <c r="Q17" i="71"/>
  <c r="Q18" i="71"/>
  <c r="P17" i="71"/>
  <c r="P18" i="71"/>
  <c r="O17" i="71"/>
  <c r="O18" i="71"/>
  <c r="N17" i="71"/>
  <c r="N18" i="71"/>
  <c r="N19" i="71"/>
  <c r="AH18" i="71"/>
  <c r="AG18" i="71"/>
  <c r="AE18" i="71"/>
  <c r="AF18" i="71" s="1"/>
  <c r="AD18" i="71"/>
  <c r="Q19" i="71"/>
  <c r="P19" i="71"/>
  <c r="O19" i="71"/>
  <c r="M19" i="43"/>
  <c r="D21" i="71"/>
  <c r="AH19" i="71"/>
  <c r="AG19" i="71"/>
  <c r="AE19" i="71"/>
  <c r="AF19" i="71" s="1"/>
  <c r="AD19" i="71"/>
  <c r="AD20" i="71"/>
  <c r="AG20" i="71"/>
  <c r="AH20" i="71"/>
  <c r="AE20" i="71"/>
  <c r="AF20" i="71" s="1"/>
  <c r="N20" i="71"/>
  <c r="Q20" i="71"/>
  <c r="F20" i="71" s="1"/>
  <c r="F19" i="71" s="1"/>
  <c r="P20" i="71"/>
  <c r="O20" i="71"/>
  <c r="Q21" i="71"/>
  <c r="P21" i="71"/>
  <c r="E20" i="71"/>
  <c r="O21" i="71"/>
  <c r="N21" i="71"/>
  <c r="X21" i="71" s="1"/>
  <c r="A2" i="53"/>
  <c r="B19" i="72" s="1"/>
  <c r="K59" i="67"/>
  <c r="P61" i="67"/>
  <c r="K59" i="15"/>
  <c r="P74" i="15"/>
  <c r="P61" i="15"/>
  <c r="P74" i="67"/>
  <c r="D116" i="39"/>
  <c r="E116" i="39"/>
  <c r="F116" i="39"/>
  <c r="G116" i="39"/>
  <c r="H116" i="39"/>
  <c r="I116" i="39"/>
  <c r="J116" i="39"/>
  <c r="K116" i="39"/>
  <c r="L116" i="39"/>
  <c r="M116" i="39"/>
  <c r="C116" i="39"/>
  <c r="A21" i="62"/>
  <c r="A20" i="62"/>
  <c r="A22" i="51"/>
  <c r="A21" i="51"/>
  <c r="A20" i="51"/>
  <c r="A14" i="62"/>
  <c r="B60" i="72" s="1"/>
  <c r="A13" i="62"/>
  <c r="B59" i="72"/>
  <c r="A19" i="62"/>
  <c r="A12" i="62"/>
  <c r="B58" i="72" s="1"/>
  <c r="A120" i="9"/>
  <c r="H2" i="52"/>
  <c r="A1" i="52"/>
  <c r="A3" i="53"/>
  <c r="Q22" i="71"/>
  <c r="P22" i="71"/>
  <c r="O22" i="71"/>
  <c r="N22"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s="1"/>
  <c r="AG21" i="71"/>
  <c r="AH21" i="71"/>
  <c r="AD22" i="71"/>
  <c r="AE22" i="71"/>
  <c r="AF22" i="71"/>
  <c r="AG22" i="71"/>
  <c r="AH22" i="71"/>
  <c r="AD23" i="71"/>
  <c r="AE23" i="71"/>
  <c r="AF23" i="71" s="1"/>
  <c r="AG23" i="71"/>
  <c r="AH23" i="71"/>
  <c r="AD24" i="71"/>
  <c r="AE24" i="71"/>
  <c r="AF24" i="71" s="1"/>
  <c r="AG24" i="71"/>
  <c r="AH24"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I9" i="43"/>
  <c r="AI12" i="43" s="1"/>
  <c r="AH9" i="43"/>
  <c r="AG9" i="43"/>
  <c r="AF9" i="43"/>
  <c r="AE9" i="43"/>
  <c r="AE12" i="43" s="1"/>
  <c r="AD9" i="43"/>
  <c r="AC9" i="43"/>
  <c r="AB9" i="43"/>
  <c r="AA9" i="43"/>
  <c r="AA12" i="43" s="1"/>
  <c r="Z9" i="43"/>
  <c r="AA10" i="43"/>
  <c r="AI10" i="43"/>
  <c r="K49" i="9"/>
  <c r="E107" i="9"/>
  <c r="A122" i="9" s="1"/>
  <c r="A8" i="52" s="1"/>
  <c r="B54" i="72" s="1"/>
  <c r="E111" i="9"/>
  <c r="A126" i="9" s="1"/>
  <c r="E109" i="9"/>
  <c r="A124" i="9" s="1"/>
  <c r="B44" i="72"/>
  <c r="B42" i="72"/>
  <c r="B69" i="72"/>
  <c r="B68" i="72"/>
  <c r="B63" i="72"/>
  <c r="B62" i="72"/>
  <c r="B16" i="72"/>
  <c r="B65" i="72"/>
  <c r="B67" i="72"/>
  <c r="B66" i="72"/>
  <c r="B10" i="72"/>
  <c r="C53" i="10"/>
  <c r="B51" i="10"/>
  <c r="A18" i="51"/>
  <c r="B13" i="72" s="1"/>
  <c r="B49" i="48"/>
  <c r="B5" i="72" s="1"/>
  <c r="I19" i="43"/>
  <c r="D85" i="71"/>
  <c r="F84" i="71"/>
  <c r="F83" i="71" s="1"/>
  <c r="E84" i="71"/>
  <c r="E83" i="71" s="1"/>
  <c r="E82" i="71" s="1"/>
  <c r="C84" i="71"/>
  <c r="D84" i="71" s="1"/>
  <c r="B84" i="71"/>
  <c r="B83" i="71" s="1"/>
  <c r="F82" i="71"/>
  <c r="B82" i="71"/>
  <c r="D81" i="71"/>
  <c r="F80" i="71"/>
  <c r="F79" i="71" s="1"/>
  <c r="E80" i="71"/>
  <c r="E79" i="71" s="1"/>
  <c r="E78" i="71" s="1"/>
  <c r="C80" i="71"/>
  <c r="B80" i="71"/>
  <c r="B79" i="71" s="1"/>
  <c r="F78" i="71"/>
  <c r="B78" i="71"/>
  <c r="D77" i="71"/>
  <c r="Q76" i="71"/>
  <c r="P76" i="71"/>
  <c r="O76" i="71"/>
  <c r="N76" i="71"/>
  <c r="F76" i="71"/>
  <c r="V76" i="71" s="1"/>
  <c r="E76" i="7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B72" i="71"/>
  <c r="S72" i="71" s="1"/>
  <c r="Q71" i="71"/>
  <c r="P71" i="71"/>
  <c r="O71" i="71"/>
  <c r="N71" i="71"/>
  <c r="F71" i="71"/>
  <c r="F70" i="71" s="1"/>
  <c r="B71" i="71"/>
  <c r="B70" i="71" s="1"/>
  <c r="Q70" i="71"/>
  <c r="P70" i="71"/>
  <c r="O70" i="71"/>
  <c r="N70" i="71"/>
  <c r="Q69" i="71"/>
  <c r="P69" i="71"/>
  <c r="O69" i="71"/>
  <c r="N69" i="71"/>
  <c r="D69" i="71"/>
  <c r="Q68" i="71"/>
  <c r="P68" i="71"/>
  <c r="O68" i="71"/>
  <c r="N68" i="71"/>
  <c r="F68" i="71"/>
  <c r="V68" i="71" s="1"/>
  <c r="E68" i="71"/>
  <c r="C68" i="71"/>
  <c r="T68" i="71" s="1"/>
  <c r="B68" i="71"/>
  <c r="S68" i="71" s="1"/>
  <c r="Q67" i="71"/>
  <c r="P67" i="71"/>
  <c r="O67" i="71"/>
  <c r="N67" i="71"/>
  <c r="F67" i="71"/>
  <c r="F66" i="71" s="1"/>
  <c r="B67" i="71"/>
  <c r="B66" i="71" s="1"/>
  <c r="Q66" i="71"/>
  <c r="P66" i="71"/>
  <c r="O66" i="71"/>
  <c r="N66" i="71"/>
  <c r="Q65" i="71"/>
  <c r="P65" i="71"/>
  <c r="O65" i="71"/>
  <c r="N65" i="71"/>
  <c r="D65" i="71"/>
  <c r="F64" i="71"/>
  <c r="E64" i="71"/>
  <c r="C64" i="71"/>
  <c r="B64" i="71"/>
  <c r="S64" i="71" s="1"/>
  <c r="F63" i="71"/>
  <c r="D61" i="71"/>
  <c r="Q60" i="71"/>
  <c r="P60" i="71"/>
  <c r="O60" i="71"/>
  <c r="N60" i="71"/>
  <c r="Q59" i="71"/>
  <c r="P59" i="71"/>
  <c r="O59" i="71"/>
  <c r="N59" i="71"/>
  <c r="Q58" i="71"/>
  <c r="P58" i="71"/>
  <c r="O58" i="71"/>
  <c r="C59" i="71" s="1"/>
  <c r="D59" i="71" s="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c r="E55" i="71" s="1"/>
  <c r="O53" i="71"/>
  <c r="C54" i="71"/>
  <c r="D54" i="71" s="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c r="O49" i="71"/>
  <c r="C50" i="71" s="1"/>
  <c r="N49" i="71"/>
  <c r="B50" i="71" s="1"/>
  <c r="B51" i="71" s="1"/>
  <c r="B52" i="71" s="1"/>
  <c r="S52" i="71" s="1"/>
  <c r="D49" i="71"/>
  <c r="Q48" i="71"/>
  <c r="P48" i="71"/>
  <c r="O48" i="71"/>
  <c r="N48" i="71"/>
  <c r="Q47" i="71"/>
  <c r="P47" i="71"/>
  <c r="O47" i="71"/>
  <c r="N47" i="71"/>
  <c r="Q46" i="71"/>
  <c r="P46" i="71"/>
  <c r="O46" i="71"/>
  <c r="N46" i="71"/>
  <c r="Q45" i="71"/>
  <c r="F46" i="71" s="1"/>
  <c r="F47" i="71" s="1"/>
  <c r="P45" i="71"/>
  <c r="E46" i="71" s="1"/>
  <c r="E47" i="71" s="1"/>
  <c r="E48" i="71" s="1"/>
  <c r="U48" i="71" s="1"/>
  <c r="O45" i="71"/>
  <c r="C46" i="71" s="1"/>
  <c r="C47" i="71" s="1"/>
  <c r="N45" i="71"/>
  <c r="B46" i="71" s="1"/>
  <c r="B47" i="71" s="1"/>
  <c r="B48" i="71" s="1"/>
  <c r="S48" i="71" s="1"/>
  <c r="D45" i="71"/>
  <c r="T44" i="71"/>
  <c r="Q44" i="71"/>
  <c r="P44" i="71"/>
  <c r="O44" i="71"/>
  <c r="N44" i="71"/>
  <c r="D44" i="71"/>
  <c r="Q43" i="71"/>
  <c r="P43" i="71"/>
  <c r="O43" i="71"/>
  <c r="N43" i="71"/>
  <c r="Q42" i="71"/>
  <c r="P42" i="71"/>
  <c r="O42" i="71"/>
  <c r="N42" i="71"/>
  <c r="Q41" i="71"/>
  <c r="F42" i="71" s="1"/>
  <c r="F43" i="71" s="1"/>
  <c r="F44" i="71" s="1"/>
  <c r="V44" i="71" s="1"/>
  <c r="P41" i="71"/>
  <c r="E42" i="71" s="1"/>
  <c r="E43" i="71" s="1"/>
  <c r="E44" i="71" s="1"/>
  <c r="U44" i="71" s="1"/>
  <c r="O41" i="71"/>
  <c r="C42" i="71"/>
  <c r="C43" i="71" s="1"/>
  <c r="D43" i="71" s="1"/>
  <c r="N41" i="71"/>
  <c r="B42" i="7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E39" i="71" s="1"/>
  <c r="E40" i="71" s="1"/>
  <c r="U40" i="71" s="1"/>
  <c r="O37" i="71"/>
  <c r="C38" i="71" s="1"/>
  <c r="C39" i="71" s="1"/>
  <c r="N37" i="71"/>
  <c r="B38" i="71" s="1"/>
  <c r="B39" i="71" s="1"/>
  <c r="B40" i="71" s="1"/>
  <c r="S40" i="71" s="1"/>
  <c r="D37" i="71"/>
  <c r="Q36" i="71"/>
  <c r="P36" i="71"/>
  <c r="O36" i="71"/>
  <c r="N36" i="71"/>
  <c r="Q35" i="71"/>
  <c r="AB35" i="71" s="1"/>
  <c r="P35" i="71"/>
  <c r="AA35" i="71" s="1"/>
  <c r="O35" i="71"/>
  <c r="N35" i="71"/>
  <c r="Q34" i="71"/>
  <c r="AB34" i="71" s="1"/>
  <c r="P34" i="71"/>
  <c r="AA33" i="71" s="1"/>
  <c r="O34" i="71"/>
  <c r="N34" i="71"/>
  <c r="Q33" i="71"/>
  <c r="F34" i="71" s="1"/>
  <c r="F35" i="71" s="1"/>
  <c r="F36" i="71" s="1"/>
  <c r="V36" i="71" s="1"/>
  <c r="P33" i="71"/>
  <c r="O33" i="71"/>
  <c r="N33" i="71"/>
  <c r="B34" i="71" s="1"/>
  <c r="D33" i="71"/>
  <c r="Q32" i="71"/>
  <c r="P32" i="71"/>
  <c r="AA32" i="71" s="1"/>
  <c r="O32" i="71"/>
  <c r="N32" i="71"/>
  <c r="Q31" i="71"/>
  <c r="AB31" i="71" s="1"/>
  <c r="P31" i="71"/>
  <c r="AA31" i="71" s="1"/>
  <c r="O31" i="71"/>
  <c r="N31" i="71"/>
  <c r="Q30" i="71"/>
  <c r="P30" i="71"/>
  <c r="O30" i="71"/>
  <c r="Y30" i="71"/>
  <c r="Z30" i="71" s="1"/>
  <c r="N30" i="71"/>
  <c r="Q29" i="71"/>
  <c r="P29" i="71"/>
  <c r="O29" i="71"/>
  <c r="N29" i="71"/>
  <c r="D29" i="71"/>
  <c r="Q28" i="71"/>
  <c r="P28" i="71"/>
  <c r="AA28" i="71" s="1"/>
  <c r="O28" i="71"/>
  <c r="Y28" i="71"/>
  <c r="Z28" i="71" s="1"/>
  <c r="N28" i="71"/>
  <c r="Q27" i="71"/>
  <c r="P27" i="71"/>
  <c r="O27" i="71"/>
  <c r="N27" i="71"/>
  <c r="Q26" i="71"/>
  <c r="P26" i="71"/>
  <c r="O26" i="71"/>
  <c r="N26" i="71"/>
  <c r="Q25" i="71"/>
  <c r="F26" i="71" s="1"/>
  <c r="F27" i="71" s="1"/>
  <c r="P25" i="71"/>
  <c r="O25" i="71"/>
  <c r="N25" i="71"/>
  <c r="D25" i="71"/>
  <c r="O24" i="71"/>
  <c r="N24" i="71"/>
  <c r="B26" i="71"/>
  <c r="B27" i="71" s="1"/>
  <c r="B28" i="71"/>
  <c r="S28" i="71" s="1"/>
  <c r="B30" i="71"/>
  <c r="B31" i="71" s="1"/>
  <c r="B35" i="71"/>
  <c r="B36" i="71" s="1"/>
  <c r="S36" i="71" s="1"/>
  <c r="X33" i="71"/>
  <c r="E34" i="71"/>
  <c r="E35" i="71"/>
  <c r="E36" i="71" s="1"/>
  <c r="U36" i="71" s="1"/>
  <c r="N64" i="71"/>
  <c r="E30" i="71"/>
  <c r="C26" i="71"/>
  <c r="X31" i="71"/>
  <c r="X32" i="71"/>
  <c r="C34" i="71"/>
  <c r="C35" i="71" s="1"/>
  <c r="AB33" i="71"/>
  <c r="AA34" i="71"/>
  <c r="F48" i="71"/>
  <c r="V48" i="71" s="1"/>
  <c r="C24" i="71"/>
  <c r="D34" i="71"/>
  <c r="D38" i="71"/>
  <c r="D42" i="71"/>
  <c r="D46" i="71"/>
  <c r="P24" i="71"/>
  <c r="E51" i="71"/>
  <c r="E52" i="71" s="1"/>
  <c r="U52" i="71" s="1"/>
  <c r="E56" i="71"/>
  <c r="U56" i="71" s="1"/>
  <c r="E63" i="71"/>
  <c r="P63" i="71" s="1"/>
  <c r="Q24" i="71"/>
  <c r="C51" i="71"/>
  <c r="C52" i="71" s="1"/>
  <c r="T52" i="71" s="1"/>
  <c r="D50" i="71"/>
  <c r="C55" i="71"/>
  <c r="C56" i="71" s="1"/>
  <c r="T56" i="71" s="1"/>
  <c r="D58" i="71"/>
  <c r="C67" i="71"/>
  <c r="C66" i="71" s="1"/>
  <c r="D66" i="71" s="1"/>
  <c r="D68" i="71"/>
  <c r="E71" i="71"/>
  <c r="E70" i="71" s="1"/>
  <c r="C75" i="71"/>
  <c r="D76" i="71"/>
  <c r="C83" i="71"/>
  <c r="T24" i="71"/>
  <c r="C23" i="71"/>
  <c r="F24" i="71"/>
  <c r="F23" i="71" s="1"/>
  <c r="F22" i="71" s="1"/>
  <c r="E24" i="71"/>
  <c r="E23" i="71"/>
  <c r="AA23" i="71"/>
  <c r="D24" i="71"/>
  <c r="U24" i="71"/>
  <c r="D83" i="71"/>
  <c r="C82" i="71"/>
  <c r="D82" i="71" s="1"/>
  <c r="D75" i="71"/>
  <c r="C74" i="71"/>
  <c r="D74" i="71" s="1"/>
  <c r="D67" i="71"/>
  <c r="D55" i="71"/>
  <c r="D51" i="71"/>
  <c r="E62" i="71"/>
  <c r="C48" i="71"/>
  <c r="D47" i="71"/>
  <c r="C40" i="71"/>
  <c r="D39" i="71"/>
  <c r="C22" i="71"/>
  <c r="D22" i="71"/>
  <c r="D23" i="71"/>
  <c r="V24" i="71"/>
  <c r="T40" i="71"/>
  <c r="D40" i="71"/>
  <c r="T48" i="71"/>
  <c r="D48" i="71"/>
  <c r="D52"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94" i="40" s="1"/>
  <c r="G94" i="40" s="1"/>
  <c r="F25" i="40"/>
  <c r="AA25" i="40" s="1"/>
  <c r="Z29" i="39"/>
  <c r="Q29" i="39"/>
  <c r="D103" i="39"/>
  <c r="Q18" i="36"/>
  <c r="Z18" i="36" s="1"/>
  <c r="D66" i="36"/>
  <c r="E66" i="36" s="1"/>
  <c r="F66" i="36" s="1"/>
  <c r="G66" i="36" s="1"/>
  <c r="H18" i="36"/>
  <c r="F18" i="36"/>
  <c r="AA18" i="36" s="1"/>
  <c r="C18" i="36"/>
  <c r="Q18" i="35"/>
  <c r="Z18" i="35" s="1"/>
  <c r="D68" i="35"/>
  <c r="E68" i="35" s="1"/>
  <c r="F68" i="35" s="1"/>
  <c r="G68" i="35" s="1"/>
  <c r="F18" i="35"/>
  <c r="AA18" i="35" s="1"/>
  <c r="C18" i="35"/>
  <c r="Q21" i="37"/>
  <c r="Z21" i="37" s="1"/>
  <c r="D77" i="37"/>
  <c r="E77" i="37"/>
  <c r="F77" i="37" s="1"/>
  <c r="G77" i="37" s="1"/>
  <c r="C21" i="37"/>
  <c r="Z21" i="34"/>
  <c r="Q21" i="34"/>
  <c r="D84" i="34"/>
  <c r="E84" i="34" s="1"/>
  <c r="F84" i="34" s="1"/>
  <c r="G84" i="34" s="1"/>
  <c r="F21" i="34"/>
  <c r="AA21" i="34" s="1"/>
  <c r="C21" i="34"/>
  <c r="Q21" i="33"/>
  <c r="Z21" i="33" s="1"/>
  <c r="D83" i="33"/>
  <c r="E83" i="33" s="1"/>
  <c r="F83" i="33" s="1"/>
  <c r="C21" i="33"/>
  <c r="C21" i="21"/>
  <c r="Q21" i="21"/>
  <c r="Z21" i="21" s="1"/>
  <c r="H19" i="21"/>
  <c r="D83" i="21"/>
  <c r="F21" i="21"/>
  <c r="D81" i="21"/>
  <c r="G20" i="20"/>
  <c r="B86" i="43" s="1"/>
  <c r="C22" i="20"/>
  <c r="C25" i="40"/>
  <c r="S25" i="40"/>
  <c r="S18" i="36"/>
  <c r="S21" i="34"/>
  <c r="H25" i="40"/>
  <c r="AB25" i="40" s="1"/>
  <c r="J25" i="40"/>
  <c r="AC25" i="40" s="1"/>
  <c r="J29" i="39"/>
  <c r="J18" i="36"/>
  <c r="AC18" i="36" s="1"/>
  <c r="H18" i="35"/>
  <c r="AB18" i="35" s="1"/>
  <c r="S18" i="35"/>
  <c r="J18" i="35"/>
  <c r="W18" i="35" s="1"/>
  <c r="H21" i="37"/>
  <c r="F21" i="37"/>
  <c r="AA21" i="37" s="1"/>
  <c r="H21" i="34"/>
  <c r="H21" i="33"/>
  <c r="U21" i="33" s="1"/>
  <c r="F21" i="33"/>
  <c r="E83" i="21"/>
  <c r="F83" i="21" s="1"/>
  <c r="G83" i="21" s="1"/>
  <c r="H1" i="69"/>
  <c r="W25" i="40"/>
  <c r="U25" i="40"/>
  <c r="W18" i="36"/>
  <c r="S21" i="37"/>
  <c r="AB21" i="33"/>
  <c r="AA21" i="33"/>
  <c r="S21" i="33"/>
  <c r="U18" i="35"/>
  <c r="AC18" i="35"/>
  <c r="J21" i="37"/>
  <c r="AC21" i="37" s="1"/>
  <c r="J21" i="34"/>
  <c r="AC21" i="34" s="1"/>
  <c r="G83" i="33"/>
  <c r="J21" i="33"/>
  <c r="AC21" i="33" s="1"/>
  <c r="H21" i="21"/>
  <c r="F38" i="69"/>
  <c r="E37" i="69"/>
  <c r="F36" i="69"/>
  <c r="F35" i="69"/>
  <c r="F21" i="69"/>
  <c r="F40" i="69" s="1"/>
  <c r="F20" i="69"/>
  <c r="F39" i="69" s="1"/>
  <c r="E10" i="69"/>
  <c r="E9" i="69"/>
  <c r="C7" i="69"/>
  <c r="W21" i="37"/>
  <c r="W21" i="34"/>
  <c r="W21" i="33"/>
  <c r="J21" i="21"/>
  <c r="F38" i="68"/>
  <c r="E37" i="68"/>
  <c r="F36" i="68"/>
  <c r="F35" i="68"/>
  <c r="F21" i="68"/>
  <c r="F40" i="68" s="1"/>
  <c r="F20" i="68"/>
  <c r="F39" i="68" s="1"/>
  <c r="E10" i="68"/>
  <c r="E9" i="68"/>
  <c r="Q72" i="67"/>
  <c r="Q59" i="67"/>
  <c r="Q58" i="67"/>
  <c r="Q51" i="67"/>
  <c r="J50" i="67"/>
  <c r="M47" i="67"/>
  <c r="D46" i="67"/>
  <c r="F33" i="67"/>
  <c r="F61" i="67"/>
  <c r="F23" i="67"/>
  <c r="D24" i="67" s="1"/>
  <c r="F21" i="67"/>
  <c r="F20" i="67"/>
  <c r="M19" i="67"/>
  <c r="F18" i="67"/>
  <c r="F17" i="67"/>
  <c r="F15" i="67"/>
  <c r="S2" i="4"/>
  <c r="C51" i="10" s="1"/>
  <c r="A13" i="51" s="1"/>
  <c r="B11" i="72" s="1"/>
  <c r="S1" i="4"/>
  <c r="A4" i="51" s="1"/>
  <c r="B6" i="72" s="1"/>
  <c r="B1" i="4"/>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9" s="1"/>
  <c r="F15" i="4"/>
  <c r="F8" i="1"/>
  <c r="F9" i="1"/>
  <c r="F10" i="1"/>
  <c r="F11" i="1"/>
  <c r="F12" i="1"/>
  <c r="F13" i="1"/>
  <c r="D6" i="1"/>
  <c r="D9" i="1"/>
  <c r="D10" i="1"/>
  <c r="G10" i="1" s="1"/>
  <c r="D11" i="1"/>
  <c r="D12" i="1"/>
  <c r="G12" i="1" s="1"/>
  <c r="D13" i="1"/>
  <c r="D7" i="1"/>
  <c r="D8" i="1"/>
  <c r="A7" i="1"/>
  <c r="B7" i="1" s="1"/>
  <c r="E7" i="1" s="1"/>
  <c r="A8" i="1"/>
  <c r="B8" i="1"/>
  <c r="E8" i="1" s="1"/>
  <c r="A9" i="1"/>
  <c r="A10" i="1"/>
  <c r="A11" i="1"/>
  <c r="B11" i="1" s="1"/>
  <c r="A12" i="1"/>
  <c r="A13" i="1"/>
  <c r="A6" i="1"/>
  <c r="E11" i="1"/>
  <c r="K10" i="1"/>
  <c r="M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c r="R280" i="31"/>
  <c r="R281" i="31"/>
  <c r="S281" i="31" s="1"/>
  <c r="R282" i="31"/>
  <c r="R283" i="31"/>
  <c r="S283" i="31" s="1"/>
  <c r="R284" i="31"/>
  <c r="R285" i="31"/>
  <c r="S285" i="31" s="1"/>
  <c r="R286" i="31"/>
  <c r="R287" i="31"/>
  <c r="S287" i="31"/>
  <c r="R288" i="31"/>
  <c r="R289" i="31"/>
  <c r="S289" i="31" s="1"/>
  <c r="R290" i="31"/>
  <c r="R291" i="31"/>
  <c r="S291" i="31" s="1"/>
  <c r="R292" i="31"/>
  <c r="R293" i="31"/>
  <c r="S293" i="31" s="1"/>
  <c r="R294" i="31"/>
  <c r="R295" i="31"/>
  <c r="S295" i="31"/>
  <c r="R296" i="31"/>
  <c r="R297" i="31"/>
  <c r="S297" i="31" s="1"/>
  <c r="R298" i="31"/>
  <c r="R299" i="31"/>
  <c r="S299" i="31" s="1"/>
  <c r="R300" i="31"/>
  <c r="R301" i="31"/>
  <c r="S301" i="31" s="1"/>
  <c r="R302" i="31"/>
  <c r="R303" i="31"/>
  <c r="S303" i="31"/>
  <c r="R304" i="31"/>
  <c r="R305" i="31"/>
  <c r="S305" i="31" s="1"/>
  <c r="R306" i="31"/>
  <c r="R307" i="31"/>
  <c r="S307" i="31" s="1"/>
  <c r="R308" i="31"/>
  <c r="R309" i="31"/>
  <c r="S309" i="31" s="1"/>
  <c r="R310" i="31"/>
  <c r="R311" i="31"/>
  <c r="S311" i="31"/>
  <c r="R312" i="31"/>
  <c r="R313" i="31"/>
  <c r="S313" i="31" s="1"/>
  <c r="R314" i="31"/>
  <c r="R315" i="31"/>
  <c r="S315" i="31" s="1"/>
  <c r="R316" i="31"/>
  <c r="R317" i="31"/>
  <c r="S317" i="31" s="1"/>
  <c r="R318" i="31"/>
  <c r="R319" i="31"/>
  <c r="S319" i="31"/>
  <c r="R320" i="31"/>
  <c r="R321" i="31"/>
  <c r="S321" i="31" s="1"/>
  <c r="R322" i="31"/>
  <c r="R323" i="31"/>
  <c r="S323" i="31" s="1"/>
  <c r="R324" i="31"/>
  <c r="R325" i="31"/>
  <c r="S325" i="31" s="1"/>
  <c r="R326" i="31"/>
  <c r="R327" i="31"/>
  <c r="S327" i="31"/>
  <c r="R328" i="31"/>
  <c r="R329" i="31"/>
  <c r="S329" i="31" s="1"/>
  <c r="R330" i="31"/>
  <c r="R331" i="31"/>
  <c r="S331" i="31" s="1"/>
  <c r="R332" i="31"/>
  <c r="R333" i="31"/>
  <c r="S333" i="31" s="1"/>
  <c r="R334" i="31"/>
  <c r="R335" i="31"/>
  <c r="S335" i="31"/>
  <c r="R336" i="31"/>
  <c r="R337" i="31"/>
  <c r="S337" i="31" s="1"/>
  <c r="R338" i="31"/>
  <c r="R339" i="31"/>
  <c r="S339" i="31" s="1"/>
  <c r="R340" i="31"/>
  <c r="R341" i="31"/>
  <c r="S341" i="31" s="1"/>
  <c r="R342" i="31"/>
  <c r="R343" i="31"/>
  <c r="S343" i="31"/>
  <c r="R344" i="31"/>
  <c r="R345" i="31"/>
  <c r="S345" i="31" s="1"/>
  <c r="R346" i="31"/>
  <c r="R347" i="31"/>
  <c r="S347" i="31" s="1"/>
  <c r="R348" i="31"/>
  <c r="R349" i="31"/>
  <c r="S349" i="31" s="1"/>
  <c r="R350" i="31"/>
  <c r="R351" i="31"/>
  <c r="S351" i="31"/>
  <c r="R352" i="31"/>
  <c r="R353" i="31"/>
  <c r="S353" i="31" s="1"/>
  <c r="R354" i="31"/>
  <c r="R355" i="31"/>
  <c r="S355" i="31" s="1"/>
  <c r="R356" i="31"/>
  <c r="R357" i="31"/>
  <c r="S357" i="31" s="1"/>
  <c r="R358" i="31"/>
  <c r="R359" i="31"/>
  <c r="S359" i="31"/>
  <c r="R360" i="31"/>
  <c r="R361" i="31"/>
  <c r="S361" i="31" s="1"/>
  <c r="R362" i="31"/>
  <c r="R363" i="31"/>
  <c r="S363" i="31" s="1"/>
  <c r="R364" i="31"/>
  <c r="R365" i="31"/>
  <c r="S365" i="31" s="1"/>
  <c r="R366" i="31"/>
  <c r="R367" i="31"/>
  <c r="S367" i="31"/>
  <c r="R368" i="31"/>
  <c r="R369" i="31"/>
  <c r="S369" i="31" s="1"/>
  <c r="R370" i="31"/>
  <c r="R371" i="31"/>
  <c r="S371" i="31" s="1"/>
  <c r="R372" i="31"/>
  <c r="R373" i="31"/>
  <c r="S373" i="31" s="1"/>
  <c r="R374" i="31"/>
  <c r="R375" i="31"/>
  <c r="S375" i="31"/>
  <c r="R376" i="31"/>
  <c r="R377" i="31"/>
  <c r="S377" i="31" s="1"/>
  <c r="R378" i="31"/>
  <c r="R379" i="31"/>
  <c r="S379" i="31" s="1"/>
  <c r="R380" i="31"/>
  <c r="R381" i="31"/>
  <c r="S381" i="31" s="1"/>
  <c r="R382" i="31"/>
  <c r="R383" i="31"/>
  <c r="S383" i="31"/>
  <c r="R384" i="31"/>
  <c r="R385" i="31"/>
  <c r="S385" i="31" s="1"/>
  <c r="R386" i="31"/>
  <c r="R387" i="31"/>
  <c r="S387" i="31" s="1"/>
  <c r="R388" i="31"/>
  <c r="R389" i="31"/>
  <c r="S389" i="31" s="1"/>
  <c r="R390" i="31"/>
  <c r="R391" i="31"/>
  <c r="S391" i="31"/>
  <c r="R392" i="31"/>
  <c r="R393" i="31"/>
  <c r="S393" i="31" s="1"/>
  <c r="R394" i="31"/>
  <c r="R395" i="31"/>
  <c r="S395" i="31" s="1"/>
  <c r="R396" i="31"/>
  <c r="R397" i="31"/>
  <c r="S397" i="31" s="1"/>
  <c r="R398" i="31"/>
  <c r="R399" i="31"/>
  <c r="S399" i="31"/>
  <c r="R400" i="31"/>
  <c r="R401" i="31"/>
  <c r="S401" i="31" s="1"/>
  <c r="R402" i="31"/>
  <c r="R403" i="31"/>
  <c r="S403" i="31" s="1"/>
  <c r="R404" i="31"/>
  <c r="R405" i="31"/>
  <c r="S405" i="31" s="1"/>
  <c r="R406" i="31"/>
  <c r="R407" i="31"/>
  <c r="S407" i="31"/>
  <c r="R408" i="31"/>
  <c r="R409" i="31"/>
  <c r="S409" i="31" s="1"/>
  <c r="R410" i="31"/>
  <c r="R411" i="31"/>
  <c r="S411" i="31" s="1"/>
  <c r="R412" i="31"/>
  <c r="R413" i="31"/>
  <c r="S413" i="31" s="1"/>
  <c r="R414" i="31"/>
  <c r="R415" i="31"/>
  <c r="S415" i="31"/>
  <c r="R416" i="31"/>
  <c r="R417" i="31"/>
  <c r="S417" i="31" s="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E21" i="6"/>
  <c r="K8" i="1"/>
  <c r="M8" i="1" s="1"/>
  <c r="O8" i="1" s="1"/>
  <c r="P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AC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67"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L548" i="3" s="1"/>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AB34" i="37" s="1"/>
  <c r="D101" i="37"/>
  <c r="F34" i="37"/>
  <c r="S34" i="37" s="1"/>
  <c r="D99" i="37"/>
  <c r="E99" i="37" s="1"/>
  <c r="F99" i="37"/>
  <c r="G99" i="37" s="1"/>
  <c r="H99" i="37" s="1"/>
  <c r="I99" i="37" s="1"/>
  <c r="J99" i="37" s="1"/>
  <c r="K99" i="37" s="1"/>
  <c r="L99" i="37" s="1"/>
  <c r="M99" i="37" s="1"/>
  <c r="H42" i="34"/>
  <c r="U42" i="34" s="1"/>
  <c r="J42" i="34"/>
  <c r="W42" i="34" s="1"/>
  <c r="F42" i="34"/>
  <c r="J38" i="34"/>
  <c r="W38" i="34" s="1"/>
  <c r="D114" i="34"/>
  <c r="F38" i="34"/>
  <c r="S38" i="34"/>
  <c r="D112" i="34"/>
  <c r="E112" i="34"/>
  <c r="F112" i="34" s="1"/>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AA41" i="21" s="1"/>
  <c r="J41" i="21"/>
  <c r="AC41" i="21"/>
  <c r="H41" i="21"/>
  <c r="U41" i="21"/>
  <c r="D81" i="39"/>
  <c r="E81" i="39" s="1"/>
  <c r="D76" i="40"/>
  <c r="E76" i="40" s="1"/>
  <c r="F76" i="40" s="1"/>
  <c r="G76" i="40" s="1"/>
  <c r="H76" i="40" s="1"/>
  <c r="I76" i="40" s="1"/>
  <c r="J76" i="40" s="1"/>
  <c r="K76" i="40" s="1"/>
  <c r="L76" i="40" s="1"/>
  <c r="M76" i="40" s="1"/>
  <c r="B120" i="40"/>
  <c r="J40" i="40" s="1"/>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E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c r="H120" i="39" s="1"/>
  <c r="I120" i="39" s="1"/>
  <c r="J120" i="39" s="1"/>
  <c r="K120" i="39" s="1"/>
  <c r="L120" i="39" s="1"/>
  <c r="M120" i="39" s="1"/>
  <c r="B114" i="39"/>
  <c r="J37" i="39"/>
  <c r="D109" i="39"/>
  <c r="F34" i="39"/>
  <c r="AA34" i="39" s="1"/>
  <c r="D107" i="39"/>
  <c r="E107" i="39" s="1"/>
  <c r="F107" i="39" s="1"/>
  <c r="D105" i="39"/>
  <c r="E105" i="39" s="1"/>
  <c r="F105" i="39" s="1"/>
  <c r="G105" i="39" s="1"/>
  <c r="H105" i="39" s="1"/>
  <c r="I105" i="39" s="1"/>
  <c r="J105" i="39" s="1"/>
  <c r="K105" i="39" s="1"/>
  <c r="L105" i="39" s="1"/>
  <c r="M105" i="39" s="1"/>
  <c r="D101" i="39"/>
  <c r="D99" i="39"/>
  <c r="E99" i="39" s="1"/>
  <c r="F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s="1"/>
  <c r="F122" i="39" s="1"/>
  <c r="G122" i="39"/>
  <c r="H122" i="39" s="1"/>
  <c r="I122" i="39" s="1"/>
  <c r="J122" i="39" s="1"/>
  <c r="K122" i="39" s="1"/>
  <c r="L122" i="39" s="1"/>
  <c r="M122" i="39" s="1"/>
  <c r="H35" i="39"/>
  <c r="AB35" i="39"/>
  <c r="B104" i="39"/>
  <c r="D97" i="39"/>
  <c r="J23" i="39" s="1"/>
  <c r="AC23" i="39" s="1"/>
  <c r="D95" i="39"/>
  <c r="E95" i="39" s="1"/>
  <c r="D93" i="39"/>
  <c r="E93" i="39" s="1"/>
  <c r="F93" i="39" s="1"/>
  <c r="G93" i="39" s="1"/>
  <c r="D91" i="39"/>
  <c r="E91" i="39" s="1"/>
  <c r="F91" i="39" s="1"/>
  <c r="G91" i="39" s="1"/>
  <c r="D89" i="39"/>
  <c r="E89" i="39" s="1"/>
  <c r="F89" i="39" s="1"/>
  <c r="G89" i="39" s="1"/>
  <c r="B86" i="39"/>
  <c r="J14" i="39" s="1"/>
  <c r="B84" i="39"/>
  <c r="B82" i="39"/>
  <c r="J12" i="39" s="1"/>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c r="Q13" i="39"/>
  <c r="Z13" i="39"/>
  <c r="Q12" i="39"/>
  <c r="Z12" i="39"/>
  <c r="Q11" i="39"/>
  <c r="Z11" i="39"/>
  <c r="Q10" i="39"/>
  <c r="Z10" i="39"/>
  <c r="Q9" i="39"/>
  <c r="Z9" i="39"/>
  <c r="J9" i="39"/>
  <c r="AC9" i="39"/>
  <c r="H9" i="39"/>
  <c r="AB9" i="39"/>
  <c r="F9" i="39"/>
  <c r="AA9" i="39"/>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F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J9" i="37" s="1"/>
  <c r="AC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B91" i="36"/>
  <c r="F32" i="36" s="1"/>
  <c r="S32" i="36" s="1"/>
  <c r="B95" i="36"/>
  <c r="H34" i="36" s="1"/>
  <c r="AB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J23" i="36" s="1"/>
  <c r="D70" i="36"/>
  <c r="H22" i="36"/>
  <c r="AB22" i="36" s="1"/>
  <c r="D68" i="36"/>
  <c r="E68" i="36" s="1"/>
  <c r="F68" i="36" s="1"/>
  <c r="G68" i="36" s="1"/>
  <c r="D64" i="36"/>
  <c r="E64" i="36"/>
  <c r="F64" i="36" s="1"/>
  <c r="G64" i="36" s="1"/>
  <c r="J16" i="36"/>
  <c r="W16" i="36"/>
  <c r="D62" i="36"/>
  <c r="E62" i="36"/>
  <c r="F62" i="36" s="1"/>
  <c r="G62" i="36" s="1"/>
  <c r="B59" i="36"/>
  <c r="H13" i="36" s="1"/>
  <c r="AB13" i="36" s="1"/>
  <c r="B57" i="36"/>
  <c r="B55" i="36"/>
  <c r="J11" i="36" s="1"/>
  <c r="F54" i="36"/>
  <c r="G54" i="36"/>
  <c r="H54" i="36" s="1"/>
  <c r="I54" i="36" s="1"/>
  <c r="C51" i="36"/>
  <c r="J9" i="36" s="1"/>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H34" i="35" s="1"/>
  <c r="B77" i="35"/>
  <c r="B75" i="35"/>
  <c r="J24" i="35" s="1"/>
  <c r="AC24" i="35" s="1"/>
  <c r="B73" i="35"/>
  <c r="F23" i="35" s="1"/>
  <c r="B57" i="35"/>
  <c r="B61" i="35"/>
  <c r="B59" i="35"/>
  <c r="B131" i="34"/>
  <c r="B129" i="34"/>
  <c r="B127" i="34"/>
  <c r="B99" i="34"/>
  <c r="B97" i="34"/>
  <c r="B95" i="34"/>
  <c r="B93" i="34"/>
  <c r="J29" i="34" s="1"/>
  <c r="W29" i="34" s="1"/>
  <c r="B75" i="34"/>
  <c r="B73" i="34"/>
  <c r="H13" i="34" s="1"/>
  <c r="B71" i="34"/>
  <c r="B130" i="33"/>
  <c r="J46" i="33" s="1"/>
  <c r="W46" i="33" s="1"/>
  <c r="B128" i="33"/>
  <c r="B126" i="33"/>
  <c r="J44" i="33" s="1"/>
  <c r="W44" i="33" s="1"/>
  <c r="B98" i="33"/>
  <c r="B96" i="33"/>
  <c r="J30" i="33" s="1"/>
  <c r="W30" i="33" s="1"/>
  <c r="B94" i="33"/>
  <c r="B74" i="33"/>
  <c r="H14" i="33" s="1"/>
  <c r="AB14" i="33" s="1"/>
  <c r="B72" i="33"/>
  <c r="B70" i="33"/>
  <c r="J12" i="33" s="1"/>
  <c r="AC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F91" i="33" s="1"/>
  <c r="G91" i="33" s="1"/>
  <c r="B88" i="33"/>
  <c r="J26" i="33" s="1"/>
  <c r="AC26" i="33" s="1"/>
  <c r="C23" i="33"/>
  <c r="C19" i="33"/>
  <c r="C17" i="33"/>
  <c r="C15" i="33"/>
  <c r="C15" i="21"/>
  <c r="D125" i="33"/>
  <c r="D123" i="33"/>
  <c r="E123" i="33" s="1"/>
  <c r="F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B92" i="33"/>
  <c r="H28" i="33" s="1"/>
  <c r="U28" i="33" s="1"/>
  <c r="B90" i="33"/>
  <c r="D87" i="33"/>
  <c r="E87" i="33" s="1"/>
  <c r="F87" i="33" s="1"/>
  <c r="G87" i="33" s="1"/>
  <c r="D85" i="33"/>
  <c r="E85" i="33" s="1"/>
  <c r="F85" i="33" s="1"/>
  <c r="D81" i="33"/>
  <c r="E81" i="33" s="1"/>
  <c r="F81" i="33" s="1"/>
  <c r="G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F19" i="21"/>
  <c r="AA19" i="21" s="1"/>
  <c r="E81" i="21"/>
  <c r="F81" i="21" s="1"/>
  <c r="G81" i="21" s="1"/>
  <c r="D77" i="21"/>
  <c r="E77" i="21" s="1"/>
  <c r="F77" i="21" s="1"/>
  <c r="B130" i="21"/>
  <c r="B128" i="21"/>
  <c r="J45" i="21" s="1"/>
  <c r="W45" i="21" s="1"/>
  <c r="B126" i="21"/>
  <c r="H44" i="21" s="1"/>
  <c r="B98" i="21"/>
  <c r="H31" i="21"/>
  <c r="B96" i="21"/>
  <c r="B94" i="21"/>
  <c r="J29" i="21" s="1"/>
  <c r="AC29" i="21" s="1"/>
  <c r="B92" i="21"/>
  <c r="B90" i="21"/>
  <c r="J27" i="21" s="1"/>
  <c r="B74" i="2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A586" i="3" s="1"/>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D9" i="69" s="1"/>
  <c r="C9" i="69"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F45" i="39"/>
  <c r="S45" i="39" s="1"/>
  <c r="J45" i="39"/>
  <c r="W45" i="39" s="1"/>
  <c r="J44" i="39"/>
  <c r="AC44" i="39" s="1"/>
  <c r="F36" i="39"/>
  <c r="S36" i="39" s="1"/>
  <c r="H36" i="39"/>
  <c r="AB36" i="39" s="1"/>
  <c r="J35" i="39"/>
  <c r="AC35" i="39" s="1"/>
  <c r="F35" i="39"/>
  <c r="AA35" i="39" s="1"/>
  <c r="J36" i="39"/>
  <c r="AC36" i="39" s="1"/>
  <c r="U9" i="39"/>
  <c r="W25" i="37"/>
  <c r="W31" i="37"/>
  <c r="E103" i="37"/>
  <c r="F103" i="37"/>
  <c r="G103" i="37" s="1"/>
  <c r="H103" i="37" s="1"/>
  <c r="I103" i="37" s="1"/>
  <c r="J103" i="37" s="1"/>
  <c r="K103" i="37" s="1"/>
  <c r="L103" i="37" s="1"/>
  <c r="M103" i="37" s="1"/>
  <c r="F39" i="37"/>
  <c r="S39" i="37" s="1"/>
  <c r="U14" i="37"/>
  <c r="F29" i="36"/>
  <c r="AA29" i="36"/>
  <c r="W8" i="36"/>
  <c r="F16" i="36"/>
  <c r="AA16" i="36" s="1"/>
  <c r="W28" i="36"/>
  <c r="S30" i="36"/>
  <c r="AA31" i="36"/>
  <c r="W31" i="36"/>
  <c r="U31" i="36"/>
  <c r="J33" i="36"/>
  <c r="W33" i="36" s="1"/>
  <c r="H22" i="35"/>
  <c r="AB22" i="35" s="1"/>
  <c r="AC27" i="35"/>
  <c r="W28" i="35"/>
  <c r="U31" i="35"/>
  <c r="W36" i="35"/>
  <c r="W22" i="35"/>
  <c r="S31" i="35"/>
  <c r="F36" i="34"/>
  <c r="S36" i="34" s="1"/>
  <c r="J35" i="34"/>
  <c r="W9" i="34"/>
  <c r="H39" i="33"/>
  <c r="AB39" i="33" s="1"/>
  <c r="U33" i="33"/>
  <c r="W39" i="33"/>
  <c r="S27" i="35"/>
  <c r="F11" i="40"/>
  <c r="AA11" i="40" s="1"/>
  <c r="H11" i="40"/>
  <c r="AB11" i="40" s="1"/>
  <c r="W8" i="40"/>
  <c r="AA9" i="40"/>
  <c r="U9" i="40"/>
  <c r="U34" i="40"/>
  <c r="U40" i="40"/>
  <c r="F42" i="39"/>
  <c r="AA42" i="39"/>
  <c r="F41" i="39"/>
  <c r="S41" i="39" s="1"/>
  <c r="H40" i="39"/>
  <c r="AB40" i="39"/>
  <c r="H39" i="39"/>
  <c r="U39" i="39"/>
  <c r="S34" i="39"/>
  <c r="H34" i="39"/>
  <c r="U34" i="39"/>
  <c r="E109" i="39"/>
  <c r="H31" i="39"/>
  <c r="AB31" i="39" s="1"/>
  <c r="F31" i="39"/>
  <c r="E101" i="39"/>
  <c r="F101" i="39" s="1"/>
  <c r="G101" i="39" s="1"/>
  <c r="H19" i="39"/>
  <c r="AB19" i="39" s="1"/>
  <c r="F19" i="39"/>
  <c r="AA19" i="39" s="1"/>
  <c r="H17" i="39"/>
  <c r="AB17" i="39" s="1"/>
  <c r="F17" i="39"/>
  <c r="AA17" i="39" s="1"/>
  <c r="J23" i="40"/>
  <c r="AC23" i="40"/>
  <c r="F21" i="40"/>
  <c r="AA21" i="40"/>
  <c r="J21" i="40"/>
  <c r="W21" i="40"/>
  <c r="H42" i="39"/>
  <c r="AB42" i="39"/>
  <c r="J34" i="39"/>
  <c r="AC34" i="39"/>
  <c r="F109" i="39"/>
  <c r="G109" i="39"/>
  <c r="H109" i="39" s="1"/>
  <c r="I109" i="39" s="1"/>
  <c r="J109" i="39" s="1"/>
  <c r="K109" i="39" s="1"/>
  <c r="L109" i="39" s="1"/>
  <c r="M109" i="39" s="1"/>
  <c r="J31" i="39"/>
  <c r="H27" i="39"/>
  <c r="U27" i="39" s="1"/>
  <c r="J19" i="39"/>
  <c r="AC19" i="39" s="1"/>
  <c r="J17" i="39"/>
  <c r="W17" i="39" s="1"/>
  <c r="F27" i="39"/>
  <c r="S27" i="39" s="1"/>
  <c r="F11" i="21"/>
  <c r="S11" i="21"/>
  <c r="U34" i="21"/>
  <c r="C27" i="39"/>
  <c r="S40" i="39"/>
  <c r="H32" i="33"/>
  <c r="H11" i="21"/>
  <c r="U11" i="21" s="1"/>
  <c r="J11" i="21"/>
  <c r="W11" i="21" s="1"/>
  <c r="H37" i="40"/>
  <c r="H36" i="40"/>
  <c r="F35" i="40"/>
  <c r="AA35" i="40" s="1"/>
  <c r="H23" i="40"/>
  <c r="AB23" i="40" s="1"/>
  <c r="H17" i="40"/>
  <c r="J15" i="40"/>
  <c r="W15" i="40" s="1"/>
  <c r="J11" i="40"/>
  <c r="AB8" i="39"/>
  <c r="AC12" i="34"/>
  <c r="AB12" i="35"/>
  <c r="W32" i="40"/>
  <c r="S44" i="39"/>
  <c r="F37" i="39"/>
  <c r="AA37" i="39" s="1"/>
  <c r="J34" i="36"/>
  <c r="U30" i="36"/>
  <c r="J30" i="35"/>
  <c r="W30" i="35" s="1"/>
  <c r="H30" i="35"/>
  <c r="AB30" i="35" s="1"/>
  <c r="F22" i="35"/>
  <c r="AA22" i="35" s="1"/>
  <c r="H10" i="35"/>
  <c r="U10" i="35" s="1"/>
  <c r="AC16" i="36"/>
  <c r="W30" i="36"/>
  <c r="H16" i="36"/>
  <c r="AB16" i="36"/>
  <c r="J29" i="36"/>
  <c r="AC29" i="36" s="1"/>
  <c r="F12" i="36"/>
  <c r="AA12" i="36" s="1"/>
  <c r="S10" i="36"/>
  <c r="AB8" i="36"/>
  <c r="S8" i="36"/>
  <c r="U8" i="35"/>
  <c r="F14" i="35"/>
  <c r="AA14" i="35"/>
  <c r="J32" i="35"/>
  <c r="AC32" i="35"/>
  <c r="J16" i="35"/>
  <c r="AC16" i="35"/>
  <c r="H16" i="35"/>
  <c r="U16" i="35"/>
  <c r="F16" i="35"/>
  <c r="S16" i="35"/>
  <c r="H14" i="35"/>
  <c r="AB14" i="35"/>
  <c r="J29" i="35"/>
  <c r="H33" i="35"/>
  <c r="AC8" i="35"/>
  <c r="J20" i="35"/>
  <c r="W20" i="35" s="1"/>
  <c r="F35" i="37"/>
  <c r="S35" i="37" s="1"/>
  <c r="E101" i="37"/>
  <c r="F101" i="37" s="1"/>
  <c r="G101" i="37" s="1"/>
  <c r="H101" i="37" s="1"/>
  <c r="I101" i="37" s="1"/>
  <c r="J101" i="37" s="1"/>
  <c r="K101" i="37" s="1"/>
  <c r="L101" i="37" s="1"/>
  <c r="M101" i="37" s="1"/>
  <c r="J34" i="37"/>
  <c r="S10" i="37"/>
  <c r="J33" i="37"/>
  <c r="AC33" i="37" s="1"/>
  <c r="H40" i="34"/>
  <c r="U40" i="34" s="1"/>
  <c r="E114" i="34"/>
  <c r="F114" i="34" s="1"/>
  <c r="H36" i="34"/>
  <c r="U36" i="34" s="1"/>
  <c r="F37" i="34"/>
  <c r="AA37" i="34" s="1"/>
  <c r="S35" i="34"/>
  <c r="F28" i="34"/>
  <c r="F27" i="34"/>
  <c r="F25" i="34"/>
  <c r="S25" i="34" s="1"/>
  <c r="H23" i="34"/>
  <c r="J23" i="34"/>
  <c r="W23" i="34" s="1"/>
  <c r="F19" i="34"/>
  <c r="H17" i="34"/>
  <c r="U17" i="34" s="1"/>
  <c r="F15" i="34"/>
  <c r="AA15" i="34" s="1"/>
  <c r="J15" i="34"/>
  <c r="H15" i="34"/>
  <c r="AB15" i="34" s="1"/>
  <c r="S9" i="34"/>
  <c r="W8" i="34"/>
  <c r="J28" i="34"/>
  <c r="F41" i="33"/>
  <c r="S38" i="33"/>
  <c r="E113" i="33"/>
  <c r="F32" i="33"/>
  <c r="J19" i="33"/>
  <c r="AC19" i="33" s="1"/>
  <c r="J15" i="33"/>
  <c r="AC15" i="33" s="1"/>
  <c r="F11" i="33"/>
  <c r="U40" i="33"/>
  <c r="W40" i="33"/>
  <c r="F37" i="40"/>
  <c r="AA37" i="40" s="1"/>
  <c r="F36" i="40"/>
  <c r="AA36" i="40" s="1"/>
  <c r="H28" i="40"/>
  <c r="U28" i="40" s="1"/>
  <c r="F23" i="40"/>
  <c r="AA23" i="40" s="1"/>
  <c r="F17" i="40"/>
  <c r="AA17" i="40" s="1"/>
  <c r="J17" i="40"/>
  <c r="W17" i="40" s="1"/>
  <c r="F15" i="40"/>
  <c r="S15" i="40" s="1"/>
  <c r="H15" i="40"/>
  <c r="AB15" i="40" s="1"/>
  <c r="S12" i="36"/>
  <c r="AB30" i="36"/>
  <c r="U30" i="35"/>
  <c r="F29" i="35"/>
  <c r="S29" i="35" s="1"/>
  <c r="H29" i="35"/>
  <c r="H33" i="37"/>
  <c r="AB33" i="37" s="1"/>
  <c r="F33" i="37"/>
  <c r="AA33" i="37" s="1"/>
  <c r="W33" i="37"/>
  <c r="AA34" i="37"/>
  <c r="J43" i="34"/>
  <c r="W43" i="34" s="1"/>
  <c r="J40" i="34"/>
  <c r="W40" i="34" s="1"/>
  <c r="G114" i="34"/>
  <c r="H114" i="34" s="1"/>
  <c r="I114" i="34" s="1"/>
  <c r="J114" i="34" s="1"/>
  <c r="K114" i="34" s="1"/>
  <c r="L114" i="34" s="1"/>
  <c r="M114" i="34" s="1"/>
  <c r="H38" i="34"/>
  <c r="AB38" i="34" s="1"/>
  <c r="J36" i="34"/>
  <c r="W36" i="34" s="1"/>
  <c r="H37" i="34"/>
  <c r="U37" i="34" s="1"/>
  <c r="H25" i="34"/>
  <c r="AB25" i="34" s="1"/>
  <c r="J25" i="34"/>
  <c r="AC25" i="34" s="1"/>
  <c r="F23" i="34"/>
  <c r="J19" i="34"/>
  <c r="AC19" i="34" s="1"/>
  <c r="F17" i="34"/>
  <c r="AA17" i="34" s="1"/>
  <c r="J17" i="34"/>
  <c r="AB17" i="34"/>
  <c r="F113" i="33"/>
  <c r="G113" i="33" s="1"/>
  <c r="H113" i="33" s="1"/>
  <c r="I113" i="33" s="1"/>
  <c r="J113" i="33" s="1"/>
  <c r="K113" i="33" s="1"/>
  <c r="L113" i="33" s="1"/>
  <c r="M113" i="33" s="1"/>
  <c r="H37" i="33"/>
  <c r="AB37" i="33" s="1"/>
  <c r="H15" i="33"/>
  <c r="AB15" i="33" s="1"/>
  <c r="H11" i="33"/>
  <c r="AB11" i="33" s="1"/>
  <c r="F28" i="40"/>
  <c r="AA28" i="40" s="1"/>
  <c r="AA29" i="35"/>
  <c r="AA42" i="34"/>
  <c r="S42" i="34"/>
  <c r="AA38" i="34"/>
  <c r="J37" i="34"/>
  <c r="AC37" i="34"/>
  <c r="J11" i="33"/>
  <c r="W11" i="33"/>
  <c r="J42" i="21"/>
  <c r="AC42" i="21" s="1"/>
  <c r="H42" i="21"/>
  <c r="U42" i="21" s="1"/>
  <c r="J44" i="34"/>
  <c r="W44" i="34" s="1"/>
  <c r="F44" i="34"/>
  <c r="AA44" i="34"/>
  <c r="J10" i="35"/>
  <c r="W10" i="35"/>
  <c r="J14" i="21"/>
  <c r="F14" i="21"/>
  <c r="H14" i="21"/>
  <c r="U14" i="21" s="1"/>
  <c r="H28" i="21"/>
  <c r="F28" i="21"/>
  <c r="AA28" i="21" s="1"/>
  <c r="J28" i="21"/>
  <c r="W28" i="21" s="1"/>
  <c r="H30" i="21"/>
  <c r="F30" i="21"/>
  <c r="S30" i="21" s="1"/>
  <c r="J30" i="21"/>
  <c r="AC30" i="21" s="1"/>
  <c r="J44" i="21"/>
  <c r="AC44" i="21" s="1"/>
  <c r="F44" i="21"/>
  <c r="H46" i="21"/>
  <c r="J46" i="21"/>
  <c r="W46" i="21" s="1"/>
  <c r="F46" i="21"/>
  <c r="E119" i="21"/>
  <c r="F119" i="21" s="1"/>
  <c r="G119" i="21" s="1"/>
  <c r="H119" i="21" s="1"/>
  <c r="I119" i="21" s="1"/>
  <c r="J119" i="21" s="1"/>
  <c r="K119" i="21" s="1"/>
  <c r="L119" i="21" s="1"/>
  <c r="M119" i="21" s="1"/>
  <c r="F33" i="35"/>
  <c r="S33" i="35"/>
  <c r="J33" i="35"/>
  <c r="AC33" i="35"/>
  <c r="F30" i="35"/>
  <c r="S30" i="35"/>
  <c r="E89" i="35"/>
  <c r="F89" i="35"/>
  <c r="G89" i="35" s="1"/>
  <c r="H89" i="35" s="1"/>
  <c r="I89" i="35" s="1"/>
  <c r="J89" i="35" s="1"/>
  <c r="K89" i="35" s="1"/>
  <c r="L89" i="35" s="1"/>
  <c r="M89" i="35" s="1"/>
  <c r="H10" i="36"/>
  <c r="J14" i="36"/>
  <c r="AC14" i="36" s="1"/>
  <c r="H14" i="36"/>
  <c r="F28" i="36"/>
  <c r="AA28" i="36" s="1"/>
  <c r="J13" i="21"/>
  <c r="F27" i="21"/>
  <c r="AA27" i="21" s="1"/>
  <c r="J31" i="21"/>
  <c r="F31" i="21"/>
  <c r="S31" i="21" s="1"/>
  <c r="F45" i="21"/>
  <c r="F27" i="33"/>
  <c r="AA27" i="33" s="1"/>
  <c r="J13" i="33"/>
  <c r="AC13" i="33" s="1"/>
  <c r="H13" i="33"/>
  <c r="AB13" i="33"/>
  <c r="F13" i="33"/>
  <c r="S13" i="33"/>
  <c r="J29" i="33"/>
  <c r="AC29" i="33"/>
  <c r="H29" i="33"/>
  <c r="U29" i="33"/>
  <c r="F29" i="33"/>
  <c r="S29" i="33"/>
  <c r="J31" i="33"/>
  <c r="W31" i="33"/>
  <c r="H31" i="33"/>
  <c r="F31" i="33"/>
  <c r="AA31" i="33" s="1"/>
  <c r="H45" i="33"/>
  <c r="U45" i="33"/>
  <c r="J45" i="33"/>
  <c r="W45" i="33"/>
  <c r="F45" i="33"/>
  <c r="AA45" i="33"/>
  <c r="J14" i="34"/>
  <c r="W14" i="34"/>
  <c r="F14" i="34"/>
  <c r="S14" i="34"/>
  <c r="H14" i="34"/>
  <c r="H30" i="34"/>
  <c r="AB30" i="34" s="1"/>
  <c r="F30" i="34"/>
  <c r="S30" i="34"/>
  <c r="J30" i="34"/>
  <c r="W30" i="34"/>
  <c r="H32" i="34"/>
  <c r="F32" i="34"/>
  <c r="AA32" i="34" s="1"/>
  <c r="J32" i="34"/>
  <c r="W32" i="34"/>
  <c r="H46" i="34"/>
  <c r="U46" i="34"/>
  <c r="F46" i="34"/>
  <c r="J46" i="34"/>
  <c r="AC46" i="34" s="1"/>
  <c r="H11" i="35"/>
  <c r="U11" i="35"/>
  <c r="J11" i="35"/>
  <c r="AC11" i="35"/>
  <c r="F11" i="35"/>
  <c r="S11" i="35"/>
  <c r="J26" i="36"/>
  <c r="W26" i="36"/>
  <c r="H28" i="36"/>
  <c r="U28" i="36"/>
  <c r="F13" i="36"/>
  <c r="S13" i="36" s="1"/>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c r="H37" i="37"/>
  <c r="U37" i="37"/>
  <c r="H40" i="37"/>
  <c r="U40" i="37"/>
  <c r="J40" i="37"/>
  <c r="AC40" i="37"/>
  <c r="F40" i="37"/>
  <c r="AA40" i="37"/>
  <c r="AC12" i="40"/>
  <c r="W12" i="40"/>
  <c r="H30" i="33"/>
  <c r="AB30" i="33" s="1"/>
  <c r="H44" i="33"/>
  <c r="AB44" i="33" s="1"/>
  <c r="AC46" i="33"/>
  <c r="U13" i="34"/>
  <c r="F29" i="34"/>
  <c r="H29" i="34"/>
  <c r="J31" i="34"/>
  <c r="H31" i="34"/>
  <c r="AB31" i="34" s="1"/>
  <c r="F31" i="34"/>
  <c r="H45" i="34"/>
  <c r="J45" i="34"/>
  <c r="W45" i="34" s="1"/>
  <c r="F45" i="34"/>
  <c r="S45" i="34" s="1"/>
  <c r="H47" i="34"/>
  <c r="U47" i="34" s="1"/>
  <c r="F47" i="34"/>
  <c r="S47" i="34" s="1"/>
  <c r="J47" i="34"/>
  <c r="F13" i="35"/>
  <c r="J13" i="35"/>
  <c r="AC13" i="35" s="1"/>
  <c r="H13" i="35"/>
  <c r="U13" i="35" s="1"/>
  <c r="J25" i="35"/>
  <c r="W25" i="35" s="1"/>
  <c r="F25" i="35"/>
  <c r="H25" i="35"/>
  <c r="J35" i="35"/>
  <c r="F35" i="35"/>
  <c r="AA35" i="35" s="1"/>
  <c r="H35" i="35"/>
  <c r="J25" i="36"/>
  <c r="F25" i="36"/>
  <c r="S25" i="36" s="1"/>
  <c r="H25" i="36"/>
  <c r="AB25" i="36" s="1"/>
  <c r="H13" i="37"/>
  <c r="AB13" i="37" s="1"/>
  <c r="F13" i="37"/>
  <c r="J13" i="37"/>
  <c r="F28" i="37"/>
  <c r="AA28" i="37" s="1"/>
  <c r="J28" i="37"/>
  <c r="H28" i="37"/>
  <c r="H38" i="37"/>
  <c r="AB38" i="37" s="1"/>
  <c r="J38" i="37"/>
  <c r="AC38" i="37" s="1"/>
  <c r="F38" i="37"/>
  <c r="S38" i="37" s="1"/>
  <c r="F43" i="39"/>
  <c r="H43" i="39"/>
  <c r="AB43" i="39" s="1"/>
  <c r="AC14" i="39"/>
  <c r="H14" i="39"/>
  <c r="F12" i="40"/>
  <c r="S12" i="40" s="1"/>
  <c r="H12" i="40"/>
  <c r="H30" i="40"/>
  <c r="F33" i="40"/>
  <c r="H33" i="40"/>
  <c r="J35" i="40"/>
  <c r="AC35" i="40" s="1"/>
  <c r="J37" i="40"/>
  <c r="AC37" i="40" s="1"/>
  <c r="H13" i="40"/>
  <c r="J13" i="40"/>
  <c r="W13" i="40" s="1"/>
  <c r="F13" i="40"/>
  <c r="AA13" i="40" s="1"/>
  <c r="F14" i="37"/>
  <c r="S14" i="37" s="1"/>
  <c r="F27" i="37"/>
  <c r="F13" i="39"/>
  <c r="S13" i="39" s="1"/>
  <c r="J13" i="39"/>
  <c r="W13" i="39"/>
  <c r="H13" i="39"/>
  <c r="H14" i="40"/>
  <c r="AB14" i="40" s="1"/>
  <c r="J14" i="40"/>
  <c r="F14" i="40"/>
  <c r="J14" i="37"/>
  <c r="AC14" i="37" s="1"/>
  <c r="J27" i="37"/>
  <c r="J36" i="37"/>
  <c r="AC36" i="37"/>
  <c r="AB11" i="35"/>
  <c r="J10" i="36"/>
  <c r="AC10" i="36" s="1"/>
  <c r="W11" i="35"/>
  <c r="AB46" i="34"/>
  <c r="AC30" i="34"/>
  <c r="AA14" i="34"/>
  <c r="S45" i="33"/>
  <c r="AB45" i="33"/>
  <c r="AB31" i="33"/>
  <c r="U31" i="33"/>
  <c r="W29" i="33"/>
  <c r="U13" i="33"/>
  <c r="S44" i="34"/>
  <c r="F17" i="21"/>
  <c r="H17" i="21"/>
  <c r="F15" i="21"/>
  <c r="S15" i="21" s="1"/>
  <c r="AB11" i="21"/>
  <c r="J41" i="39"/>
  <c r="W41" i="39" s="1"/>
  <c r="W44" i="39"/>
  <c r="W35" i="39"/>
  <c r="S35" i="39"/>
  <c r="G540" i="3"/>
  <c r="G535" i="3"/>
  <c r="G531" i="3"/>
  <c r="G527" i="3"/>
  <c r="G523" i="3"/>
  <c r="G518" i="3"/>
  <c r="G514" i="3"/>
  <c r="G510" i="3"/>
  <c r="G508" i="3"/>
  <c r="G504" i="3"/>
  <c r="G500" i="3"/>
  <c r="G496" i="3"/>
  <c r="G584" i="3"/>
  <c r="G580" i="3"/>
  <c r="G572" i="3"/>
  <c r="G568" i="3"/>
  <c r="G564" i="3"/>
  <c r="G554" i="3"/>
  <c r="G550" i="3"/>
  <c r="BL584" i="3"/>
  <c r="AZ584" i="3" s="1"/>
  <c r="BL580" i="3"/>
  <c r="BL576" i="3"/>
  <c r="BL568" i="3"/>
  <c r="BL564" i="3"/>
  <c r="BL560" i="3"/>
  <c r="BL554" i="3"/>
  <c r="BL546" i="3"/>
  <c r="BL538" i="3"/>
  <c r="BL530" i="3"/>
  <c r="BL522" i="3"/>
  <c r="BL516" i="3"/>
  <c r="BL512" i="3"/>
  <c r="AZ512" i="3" s="1"/>
  <c r="BL506" i="3"/>
  <c r="BL502" i="3"/>
  <c r="AZ502" i="3" s="1"/>
  <c r="BL498" i="3"/>
  <c r="BL494" i="3"/>
  <c r="BL582" i="3"/>
  <c r="BL578" i="3"/>
  <c r="BL570" i="3"/>
  <c r="BL566" i="3"/>
  <c r="BL562" i="3"/>
  <c r="BL552" i="3"/>
  <c r="BL540" i="3"/>
  <c r="G533" i="3"/>
  <c r="G529" i="3"/>
  <c r="G525" i="3"/>
  <c r="BL524" i="3"/>
  <c r="BL518" i="3"/>
  <c r="BL514" i="3"/>
  <c r="BL510" i="3"/>
  <c r="BL504" i="3"/>
  <c r="BL500" i="3"/>
  <c r="BL496" i="3"/>
  <c r="G493" i="3"/>
  <c r="BA584" i="3"/>
  <c r="BA582" i="3"/>
  <c r="AZ582" i="3" s="1"/>
  <c r="BA580" i="3"/>
  <c r="AZ580" i="3" s="1"/>
  <c r="BA578" i="3"/>
  <c r="AZ578" i="3" s="1"/>
  <c r="BA576" i="3"/>
  <c r="BA574" i="3"/>
  <c r="BA572" i="3"/>
  <c r="BA570" i="3"/>
  <c r="AZ570" i="3" s="1"/>
  <c r="BA568" i="3"/>
  <c r="AZ568" i="3" s="1"/>
  <c r="BA566" i="3"/>
  <c r="AZ566" i="3" s="1"/>
  <c r="BA564" i="3"/>
  <c r="BA562" i="3"/>
  <c r="AZ562" i="3" s="1"/>
  <c r="BA560" i="3"/>
  <c r="BA554" i="3"/>
  <c r="AZ554" i="3" s="1"/>
  <c r="BA552" i="3"/>
  <c r="BA546" i="3"/>
  <c r="AZ546" i="3" s="1"/>
  <c r="BA528" i="3"/>
  <c r="BA526" i="3"/>
  <c r="BA524" i="3"/>
  <c r="AZ524" i="3" s="1"/>
  <c r="BA522" i="3"/>
  <c r="BA520" i="3"/>
  <c r="BA518" i="3"/>
  <c r="BA516" i="3"/>
  <c r="AZ516" i="3" s="1"/>
  <c r="BA514" i="3"/>
  <c r="AZ514" i="3" s="1"/>
  <c r="BA512" i="3"/>
  <c r="BA510" i="3"/>
  <c r="BA508" i="3"/>
  <c r="BA506" i="3"/>
  <c r="AZ506" i="3" s="1"/>
  <c r="BA504" i="3"/>
  <c r="AZ504" i="3"/>
  <c r="BA502" i="3"/>
  <c r="BA500" i="3"/>
  <c r="AZ500" i="3" s="1"/>
  <c r="BA498" i="3"/>
  <c r="AZ498" i="3"/>
  <c r="BA496" i="3"/>
  <c r="BA494" i="3"/>
  <c r="BA583" i="3"/>
  <c r="AZ583" i="3" s="1"/>
  <c r="BA581" i="3"/>
  <c r="BA579" i="3"/>
  <c r="BA575" i="3"/>
  <c r="BA571" i="3"/>
  <c r="BA569" i="3"/>
  <c r="BA567" i="3"/>
  <c r="BA565" i="3"/>
  <c r="BA563" i="3"/>
  <c r="BA559" i="3"/>
  <c r="BA555" i="3"/>
  <c r="BA553" i="3"/>
  <c r="BA549" i="3"/>
  <c r="AZ549" i="3" s="1"/>
  <c r="BA547" i="3"/>
  <c r="BA543" i="3"/>
  <c r="BA539" i="3"/>
  <c r="BA535" i="3"/>
  <c r="BA531" i="3"/>
  <c r="BA527" i="3"/>
  <c r="BA525" i="3"/>
  <c r="BA523" i="3"/>
  <c r="BA519" i="3"/>
  <c r="BA517" i="3"/>
  <c r="BA515" i="3"/>
  <c r="BA513" i="3"/>
  <c r="BA511" i="3"/>
  <c r="BA507" i="3"/>
  <c r="BA505" i="3"/>
  <c r="BA503" i="3"/>
  <c r="BA501" i="3"/>
  <c r="BA499" i="3"/>
  <c r="BA497" i="3"/>
  <c r="BA495" i="3"/>
  <c r="BA493" i="3"/>
  <c r="AZ560" i="3"/>
  <c r="G583" i="3"/>
  <c r="G581" i="3"/>
  <c r="G579" i="3"/>
  <c r="G577" i="3"/>
  <c r="G573" i="3"/>
  <c r="G569" i="3"/>
  <c r="G567" i="3"/>
  <c r="G565" i="3"/>
  <c r="G563" i="3"/>
  <c r="G561" i="3"/>
  <c r="BA557" i="3"/>
  <c r="AC557" i="3"/>
  <c r="BQ557" i="3"/>
  <c r="BQ583" i="3"/>
  <c r="BL583" i="3" s="1"/>
  <c r="BQ581" i="3"/>
  <c r="BL581" i="3" s="1"/>
  <c r="BQ579" i="3"/>
  <c r="BL579" i="3" s="1"/>
  <c r="BQ577" i="3"/>
  <c r="BQ575" i="3"/>
  <c r="BL575" i="3"/>
  <c r="BQ573" i="3"/>
  <c r="BQ571" i="3"/>
  <c r="BL571" i="3" s="1"/>
  <c r="BQ569" i="3"/>
  <c r="BL569" i="3" s="1"/>
  <c r="AZ569" i="3" s="1"/>
  <c r="BQ567" i="3"/>
  <c r="BL567" i="3" s="1"/>
  <c r="BQ565" i="3"/>
  <c r="BL565" i="3" s="1"/>
  <c r="AZ565" i="3" s="1"/>
  <c r="BQ563" i="3"/>
  <c r="BL563" i="3" s="1"/>
  <c r="AZ563" i="3" s="1"/>
  <c r="BQ561" i="3"/>
  <c r="BL561" i="3" s="1"/>
  <c r="BQ559" i="3"/>
  <c r="G555" i="3"/>
  <c r="G553" i="3"/>
  <c r="G549" i="3"/>
  <c r="G545" i="3"/>
  <c r="G541" i="3"/>
  <c r="G537" i="3"/>
  <c r="BQ555" i="3"/>
  <c r="BL555" i="3"/>
  <c r="AZ555" i="3" s="1"/>
  <c r="BQ553" i="3"/>
  <c r="BL553" i="3" s="1"/>
  <c r="AZ553" i="3"/>
  <c r="BQ551" i="3"/>
  <c r="BL551" i="3"/>
  <c r="BQ549" i="3"/>
  <c r="BQ547" i="3"/>
  <c r="BQ545" i="3"/>
  <c r="BL545" i="3"/>
  <c r="BQ543" i="3"/>
  <c r="BQ541" i="3"/>
  <c r="BL541" i="3" s="1"/>
  <c r="BQ539" i="3"/>
  <c r="BQ537" i="3"/>
  <c r="BL537" i="3"/>
  <c r="BQ535" i="3"/>
  <c r="BQ533" i="3"/>
  <c r="BL533" i="3" s="1"/>
  <c r="BQ531" i="3"/>
  <c r="BQ529" i="3"/>
  <c r="BL529" i="3"/>
  <c r="BQ527" i="3"/>
  <c r="BQ525" i="3"/>
  <c r="BL525" i="3" s="1"/>
  <c r="AZ525" i="3" s="1"/>
  <c r="BQ523" i="3"/>
  <c r="BL523" i="3" s="1"/>
  <c r="AZ523" i="3" s="1"/>
  <c r="BA521" i="3"/>
  <c r="AC521" i="3"/>
  <c r="G521" i="3" s="1"/>
  <c r="BQ521" i="3"/>
  <c r="BL521" i="3" s="1"/>
  <c r="AZ521" i="3" s="1"/>
  <c r="BL520" i="3"/>
  <c r="AZ520" i="3" s="1"/>
  <c r="G519" i="3"/>
  <c r="G517" i="3"/>
  <c r="G515" i="3"/>
  <c r="G513" i="3"/>
  <c r="G511" i="3"/>
  <c r="BQ519" i="3"/>
  <c r="BL519" i="3" s="1"/>
  <c r="AZ519" i="3"/>
  <c r="BQ517" i="3"/>
  <c r="BL517" i="3"/>
  <c r="BQ515" i="3"/>
  <c r="BL515" i="3" s="1"/>
  <c r="AZ515" i="3"/>
  <c r="BQ513" i="3"/>
  <c r="BL513" i="3"/>
  <c r="BQ511" i="3"/>
  <c r="BL511" i="3" s="1"/>
  <c r="AZ511" i="3"/>
  <c r="BA509" i="3"/>
  <c r="AC509" i="3"/>
  <c r="AC5" i="3" s="1"/>
  <c r="BQ509" i="3"/>
  <c r="BL509" i="3"/>
  <c r="AZ509" i="3" s="1"/>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BQ497" i="3"/>
  <c r="BL497" i="3" s="1"/>
  <c r="AZ497" i="3" s="1"/>
  <c r="BQ495" i="3"/>
  <c r="BL495" i="3" s="1"/>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E125" i="33"/>
  <c r="F125" i="33" s="1"/>
  <c r="G125" i="33" s="1"/>
  <c r="H43" i="33"/>
  <c r="AB43" i="33" s="1"/>
  <c r="H17" i="37"/>
  <c r="AB27" i="37"/>
  <c r="AA36" i="39"/>
  <c r="F39" i="33"/>
  <c r="AA39" i="33"/>
  <c r="F42" i="33"/>
  <c r="H28" i="34"/>
  <c r="F14" i="36"/>
  <c r="AA14" i="36" s="1"/>
  <c r="F22" i="36"/>
  <c r="F26" i="36"/>
  <c r="H27" i="34"/>
  <c r="AB27" i="34" s="1"/>
  <c r="H35" i="34"/>
  <c r="U35" i="34" s="1"/>
  <c r="F41" i="34"/>
  <c r="S41" i="34" s="1"/>
  <c r="H41" i="34"/>
  <c r="J41" i="34"/>
  <c r="AC41" i="34" s="1"/>
  <c r="F10" i="35"/>
  <c r="F24" i="35"/>
  <c r="AA24" i="35" s="1"/>
  <c r="H24" i="35"/>
  <c r="H23" i="37"/>
  <c r="J32" i="37"/>
  <c r="F36" i="37"/>
  <c r="F37" i="37"/>
  <c r="AA37" i="37" s="1"/>
  <c r="F31" i="40"/>
  <c r="AA31" i="40" s="1"/>
  <c r="H31" i="40"/>
  <c r="U31" i="40" s="1"/>
  <c r="F32" i="40"/>
  <c r="S32" i="40" s="1"/>
  <c r="H32" i="40"/>
  <c r="J36" i="40"/>
  <c r="W36" i="40" s="1"/>
  <c r="H19" i="37"/>
  <c r="AB19" i="37" s="1"/>
  <c r="G123" i="33"/>
  <c r="H123" i="33" s="1"/>
  <c r="I123" i="33" s="1"/>
  <c r="J123" i="33" s="1"/>
  <c r="K123" i="33" s="1"/>
  <c r="L123" i="33" s="1"/>
  <c r="M123" i="33" s="1"/>
  <c r="H42" i="33"/>
  <c r="AB42" i="33"/>
  <c r="J43" i="33"/>
  <c r="U43" i="33"/>
  <c r="S28" i="31"/>
  <c r="S27" i="31"/>
  <c r="S26" i="31"/>
  <c r="U14" i="40"/>
  <c r="AC33" i="36"/>
  <c r="AA12" i="35"/>
  <c r="W14" i="37"/>
  <c r="U33" i="37"/>
  <c r="W26" i="37"/>
  <c r="AC8" i="37"/>
  <c r="U26" i="37"/>
  <c r="AB13" i="34"/>
  <c r="W37" i="34"/>
  <c r="AC36" i="34"/>
  <c r="AA13" i="33"/>
  <c r="AC31" i="33"/>
  <c r="AC45" i="33"/>
  <c r="U11" i="33"/>
  <c r="U19" i="21"/>
  <c r="W44" i="21"/>
  <c r="AB38" i="21"/>
  <c r="F43" i="33"/>
  <c r="AA43" i="33"/>
  <c r="W15" i="34"/>
  <c r="AC15" i="34"/>
  <c r="W16" i="35"/>
  <c r="W40" i="37"/>
  <c r="H37" i="21"/>
  <c r="U37" i="21" s="1"/>
  <c r="S42" i="21"/>
  <c r="H19" i="34"/>
  <c r="AB19" i="34" s="1"/>
  <c r="F36" i="35"/>
  <c r="S36" i="35" s="1"/>
  <c r="W9" i="37"/>
  <c r="J12" i="37"/>
  <c r="W12" i="37"/>
  <c r="H12" i="37"/>
  <c r="AB12" i="37"/>
  <c r="F12" i="37"/>
  <c r="S12" i="37"/>
  <c r="E71" i="37"/>
  <c r="F15" i="37"/>
  <c r="E94" i="37"/>
  <c r="F94" i="37" s="1"/>
  <c r="G94" i="37" s="1"/>
  <c r="H94" i="37" s="1"/>
  <c r="I94" i="37" s="1"/>
  <c r="J94" i="37" s="1"/>
  <c r="K94" i="37" s="1"/>
  <c r="L94" i="37" s="1"/>
  <c r="M94" i="37" s="1"/>
  <c r="F31" i="37"/>
  <c r="S31" i="37" s="1"/>
  <c r="J42" i="39"/>
  <c r="AC42" i="39" s="1"/>
  <c r="H21" i="40"/>
  <c r="AB21" i="40" s="1"/>
  <c r="AC12" i="37"/>
  <c r="H31" i="37"/>
  <c r="F71" i="37"/>
  <c r="G71" i="37" s="1"/>
  <c r="J15" i="37"/>
  <c r="U12" i="37"/>
  <c r="AT6" i="3"/>
  <c r="C12" i="43"/>
  <c r="H19" i="40"/>
  <c r="U19" i="40" s="1"/>
  <c r="G88" i="40"/>
  <c r="F19" i="40"/>
  <c r="S19" i="40"/>
  <c r="AC43" i="39"/>
  <c r="W43" i="39"/>
  <c r="U45" i="39"/>
  <c r="AB45" i="39"/>
  <c r="AB44" i="39"/>
  <c r="U44" i="39"/>
  <c r="H37" i="39"/>
  <c r="AC37" i="39"/>
  <c r="W37" i="39"/>
  <c r="F15" i="39"/>
  <c r="AA15" i="39" s="1"/>
  <c r="H15" i="39"/>
  <c r="U15" i="39" s="1"/>
  <c r="J15" i="39"/>
  <c r="W15" i="39" s="1"/>
  <c r="H41" i="39"/>
  <c r="AB41" i="39" s="1"/>
  <c r="AB34" i="39"/>
  <c r="U40" i="39"/>
  <c r="S42" i="39"/>
  <c r="W14" i="39"/>
  <c r="W9" i="39"/>
  <c r="W8" i="39"/>
  <c r="J19" i="40"/>
  <c r="J50" i="40"/>
  <c r="H103" i="9"/>
  <c r="B16" i="53"/>
  <c r="B33" i="72" s="1"/>
  <c r="C7" i="37"/>
  <c r="C7" i="34"/>
  <c r="C59" i="34" s="1"/>
  <c r="D59" i="34" s="1"/>
  <c r="E59" i="34" s="1"/>
  <c r="F59" i="34" s="1"/>
  <c r="G59" i="34" s="1"/>
  <c r="H59" i="34" s="1"/>
  <c r="C7" i="36"/>
  <c r="W35" i="40"/>
  <c r="A118" i="9"/>
  <c r="A12" i="52"/>
  <c r="B56" i="72" s="1"/>
  <c r="G4" i="4"/>
  <c r="I4" i="4"/>
  <c r="A2" i="9"/>
  <c r="F59" i="43"/>
  <c r="AZ20" i="3"/>
  <c r="AZ24" i="3"/>
  <c r="AZ28" i="3"/>
  <c r="BL549" i="3"/>
  <c r="AZ494"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s="1"/>
  <c r="BL116" i="3"/>
  <c r="AZ116" i="3" s="1"/>
  <c r="G117" i="3"/>
  <c r="BA119" i="3"/>
  <c r="AZ119" i="3" s="1"/>
  <c r="BL120" i="3"/>
  <c r="AZ120" i="3" s="1"/>
  <c r="G121" i="3"/>
  <c r="BA123" i="3"/>
  <c r="AZ123" i="3" s="1"/>
  <c r="BL124" i="3"/>
  <c r="AZ124" i="3" s="1"/>
  <c r="G125" i="3"/>
  <c r="BA127" i="3"/>
  <c r="AZ127" i="3"/>
  <c r="BL128" i="3"/>
  <c r="G129" i="3"/>
  <c r="BA131" i="3"/>
  <c r="AZ131" i="3"/>
  <c r="BL132" i="3"/>
  <c r="G133" i="3"/>
  <c r="BA135" i="3"/>
  <c r="AZ135" i="3" s="1"/>
  <c r="BL136" i="3"/>
  <c r="G137" i="3"/>
  <c r="BA139" i="3"/>
  <c r="AZ139" i="3" s="1"/>
  <c r="BL140" i="3"/>
  <c r="AZ140" i="3" s="1"/>
  <c r="G141" i="3"/>
  <c r="BA143" i="3"/>
  <c r="AZ143" i="3" s="1"/>
  <c r="BL144" i="3"/>
  <c r="G145" i="3"/>
  <c r="BA147" i="3"/>
  <c r="AZ147" i="3" s="1"/>
  <c r="BL148" i="3"/>
  <c r="AZ148" i="3" s="1"/>
  <c r="G149" i="3"/>
  <c r="BA151" i="3"/>
  <c r="BL152" i="3"/>
  <c r="AZ152" i="3" s="1"/>
  <c r="G153" i="3"/>
  <c r="BA155" i="3"/>
  <c r="BL156" i="3"/>
  <c r="AZ156" i="3" s="1"/>
  <c r="G157" i="3"/>
  <c r="BA159" i="3"/>
  <c r="AZ159" i="3"/>
  <c r="BL160" i="3"/>
  <c r="G161" i="3"/>
  <c r="BA163" i="3"/>
  <c r="AZ163" i="3"/>
  <c r="BL164" i="3"/>
  <c r="AZ164" i="3"/>
  <c r="G165" i="3"/>
  <c r="BA167" i="3"/>
  <c r="BL168" i="3"/>
  <c r="G169" i="3"/>
  <c r="BA171" i="3"/>
  <c r="AZ171" i="3" s="1"/>
  <c r="BL172" i="3"/>
  <c r="AZ172" i="3" s="1"/>
  <c r="G173" i="3"/>
  <c r="BA175" i="3"/>
  <c r="AZ175" i="3" s="1"/>
  <c r="BL176" i="3"/>
  <c r="G177" i="3"/>
  <c r="BA179" i="3"/>
  <c r="AZ179" i="3" s="1"/>
  <c r="BL180" i="3"/>
  <c r="G181" i="3"/>
  <c r="BA183" i="3"/>
  <c r="AZ183" i="3" s="1"/>
  <c r="BL184" i="3"/>
  <c r="AZ184" i="3" s="1"/>
  <c r="G185" i="3"/>
  <c r="BA187" i="3"/>
  <c r="AZ187" i="3" s="1"/>
  <c r="BL188" i="3"/>
  <c r="AZ188" i="3" s="1"/>
  <c r="G189" i="3"/>
  <c r="BA191" i="3"/>
  <c r="AZ191" i="3"/>
  <c r="BL192" i="3"/>
  <c r="G193" i="3"/>
  <c r="BA195" i="3"/>
  <c r="AZ195" i="3"/>
  <c r="BL196" i="3"/>
  <c r="G197" i="3"/>
  <c r="BA199" i="3"/>
  <c r="AZ199" i="3" s="1"/>
  <c r="BL200" i="3"/>
  <c r="G201" i="3"/>
  <c r="BA203" i="3"/>
  <c r="BL204" i="3"/>
  <c r="AZ204" i="3" s="1"/>
  <c r="AZ39" i="3"/>
  <c r="AZ43" i="3"/>
  <c r="AZ51" i="3"/>
  <c r="AZ55" i="3"/>
  <c r="AZ67" i="3"/>
  <c r="AZ71" i="3"/>
  <c r="AZ83" i="3"/>
  <c r="AZ168" i="3"/>
  <c r="AZ176" i="3"/>
  <c r="AZ192" i="3"/>
  <c r="AZ200" i="3"/>
  <c r="AZ85" i="3"/>
  <c r="AZ93" i="3"/>
  <c r="AZ97" i="3"/>
  <c r="AZ105" i="3"/>
  <c r="AZ128" i="3"/>
  <c r="G534"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AZ320" i="3" s="1"/>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BA347" i="3"/>
  <c r="AZ347" i="3" s="1"/>
  <c r="BL347" i="3"/>
  <c r="G350" i="3"/>
  <c r="BA351" i="3"/>
  <c r="AZ351" i="3" s="1"/>
  <c r="BL351" i="3"/>
  <c r="G352" i="3"/>
  <c r="G354" i="3"/>
  <c r="BA355" i="3"/>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6" i="3"/>
  <c r="AZ162" i="3"/>
  <c r="AZ170" i="3"/>
  <c r="AZ174" i="3"/>
  <c r="AZ182" i="3"/>
  <c r="AZ186" i="3"/>
  <c r="AZ190" i="3"/>
  <c r="AZ198" i="3"/>
  <c r="BA16" i="3"/>
  <c r="AZ16" i="3" s="1"/>
  <c r="BL303" i="3"/>
  <c r="G304" i="3"/>
  <c r="BA306" i="3"/>
  <c r="AZ306" i="3" s="1"/>
  <c r="BL307" i="3"/>
  <c r="AZ307" i="3" s="1"/>
  <c r="G308" i="3"/>
  <c r="BA310" i="3"/>
  <c r="AZ310" i="3" s="1"/>
  <c r="BL311" i="3"/>
  <c r="AZ311" i="3" s="1"/>
  <c r="G312" i="3"/>
  <c r="BA314" i="3"/>
  <c r="AZ314" i="3" s="1"/>
  <c r="BL315" i="3"/>
  <c r="G316" i="3"/>
  <c r="BA318" i="3"/>
  <c r="BL319" i="3"/>
  <c r="AZ319" i="3" s="1"/>
  <c r="G320" i="3"/>
  <c r="BA322" i="3"/>
  <c r="AZ322" i="3" s="1"/>
  <c r="BL323" i="3"/>
  <c r="AZ323" i="3" s="1"/>
  <c r="G324" i="3"/>
  <c r="BA326" i="3"/>
  <c r="AZ326" i="3"/>
  <c r="BL327" i="3"/>
  <c r="AZ327" i="3"/>
  <c r="G328" i="3"/>
  <c r="BA330" i="3"/>
  <c r="AZ330" i="3" s="1"/>
  <c r="BL331" i="3"/>
  <c r="G332" i="3"/>
  <c r="BA334" i="3"/>
  <c r="AZ334" i="3"/>
  <c r="BL335" i="3"/>
  <c r="G336" i="3"/>
  <c r="BA338" i="3"/>
  <c r="AZ338" i="3"/>
  <c r="BL339" i="3"/>
  <c r="AZ339" i="3"/>
  <c r="G340" i="3"/>
  <c r="BL343" i="3"/>
  <c r="G344" i="3"/>
  <c r="G348" i="3"/>
  <c r="G355" i="3"/>
  <c r="AZ218" i="3"/>
  <c r="AZ303" i="3"/>
  <c r="AZ335" i="3"/>
  <c r="G342" i="3"/>
  <c r="BL345" i="3"/>
  <c r="AZ345" i="3" s="1"/>
  <c r="G346" i="3"/>
  <c r="AZ348" i="3"/>
  <c r="BL349" i="3"/>
  <c r="AZ349" i="3" s="1"/>
  <c r="BL352" i="3"/>
  <c r="G353" i="3"/>
  <c r="BA357" i="3"/>
  <c r="BL358" i="3"/>
  <c r="AZ358" i="3" s="1"/>
  <c r="G359" i="3"/>
  <c r="BA361" i="3"/>
  <c r="AZ361" i="3" s="1"/>
  <c r="BL362" i="3"/>
  <c r="G363" i="3"/>
  <c r="BA365" i="3"/>
  <c r="AZ365" i="3" s="1"/>
  <c r="BL366" i="3"/>
  <c r="AZ366" i="3" s="1"/>
  <c r="G367" i="3"/>
  <c r="BA369" i="3"/>
  <c r="AZ369" i="3" s="1"/>
  <c r="BL370" i="3"/>
  <c r="G371" i="3"/>
  <c r="BA373" i="3"/>
  <c r="AZ373" i="3" s="1"/>
  <c r="BL374" i="3"/>
  <c r="G375" i="3"/>
  <c r="BA377" i="3"/>
  <c r="AZ377" i="3"/>
  <c r="AZ229" i="3"/>
  <c r="AZ233" i="3"/>
  <c r="AZ237" i="3"/>
  <c r="AZ249" i="3"/>
  <c r="AZ253" i="3"/>
  <c r="AZ269" i="3"/>
  <c r="AZ273" i="3"/>
  <c r="BA379" i="3"/>
  <c r="BL380" i="3"/>
  <c r="G381" i="3"/>
  <c r="BA383" i="3"/>
  <c r="AZ383" i="3" s="1"/>
  <c r="BL384" i="3"/>
  <c r="AZ384" i="3" s="1"/>
  <c r="G385" i="3"/>
  <c r="BA387" i="3"/>
  <c r="AZ387" i="3" s="1"/>
  <c r="BL388" i="3"/>
  <c r="AZ388" i="3" s="1"/>
  <c r="G389" i="3"/>
  <c r="BA391" i="3"/>
  <c r="AZ391" i="3" s="1"/>
  <c r="BL392" i="3"/>
  <c r="AZ392" i="3" s="1"/>
  <c r="G393" i="3"/>
  <c r="AZ291" i="3"/>
  <c r="AZ299" i="3"/>
  <c r="BO5" i="3"/>
  <c r="BH5" i="3"/>
  <c r="BD5" i="3"/>
  <c r="AZ317" i="3"/>
  <c r="AZ333" i="3"/>
  <c r="BQ5" i="3"/>
  <c r="AZ496" i="3"/>
  <c r="G538" i="3"/>
  <c r="G520" i="3"/>
  <c r="G502" i="3"/>
  <c r="BP5" i="3"/>
  <c r="BI5" i="3"/>
  <c r="BE5" i="3"/>
  <c r="G17" i="3"/>
  <c r="BA17" i="3"/>
  <c r="BT5" i="3"/>
  <c r="AZ352" i="3"/>
  <c r="AZ368" i="3"/>
  <c r="BA15" i="3"/>
  <c r="BR5" i="3"/>
  <c r="AZ380" i="3"/>
  <c r="AZ396" i="3"/>
  <c r="G509" i="3"/>
  <c r="AZ390" i="3"/>
  <c r="F36" i="43"/>
  <c r="F81" i="43"/>
  <c r="H83" i="43"/>
  <c r="H113" i="43"/>
  <c r="F48" i="43"/>
  <c r="H50" i="43" s="1"/>
  <c r="F70" i="43"/>
  <c r="M11" i="43"/>
  <c r="D17" i="43"/>
  <c r="F39" i="43"/>
  <c r="I17" i="43"/>
  <c r="F35" i="43"/>
  <c r="J17" i="43"/>
  <c r="F6" i="1"/>
  <c r="U17" i="39"/>
  <c r="S14" i="35"/>
  <c r="U35" i="21"/>
  <c r="U10" i="21"/>
  <c r="G9" i="1"/>
  <c r="W37" i="37"/>
  <c r="AC44" i="34"/>
  <c r="U13" i="37"/>
  <c r="AA12" i="40"/>
  <c r="J37" i="33"/>
  <c r="W37" i="33"/>
  <c r="F106" i="33"/>
  <c r="G106" i="33" s="1"/>
  <c r="H106" i="33" s="1"/>
  <c r="I106" i="33" s="1"/>
  <c r="J106" i="33" s="1"/>
  <c r="K106" i="33" s="1"/>
  <c r="L106" i="33" s="1"/>
  <c r="M106" i="33" s="1"/>
  <c r="J34" i="33"/>
  <c r="W34" i="33" s="1"/>
  <c r="F33" i="34"/>
  <c r="S33" i="34" s="1"/>
  <c r="H20" i="36"/>
  <c r="U20" i="36" s="1"/>
  <c r="J20" i="36"/>
  <c r="J27" i="36"/>
  <c r="W27" i="36" s="1"/>
  <c r="AB25" i="37"/>
  <c r="AC33" i="40"/>
  <c r="G111" i="40"/>
  <c r="H111" i="40" s="1"/>
  <c r="I111" i="40" s="1"/>
  <c r="J111" i="40" s="1"/>
  <c r="K111" i="40" s="1"/>
  <c r="L111" i="40" s="1"/>
  <c r="M111" i="40" s="1"/>
  <c r="H35" i="40"/>
  <c r="AB35" i="40"/>
  <c r="AC29" i="35"/>
  <c r="W29" i="35"/>
  <c r="H35" i="37"/>
  <c r="U35" i="37"/>
  <c r="H20" i="35"/>
  <c r="F20" i="35"/>
  <c r="AA20" i="35" s="1"/>
  <c r="U29" i="36"/>
  <c r="H32" i="37"/>
  <c r="AB32" i="37" s="1"/>
  <c r="H27" i="40"/>
  <c r="J27" i="40"/>
  <c r="AC27" i="40" s="1"/>
  <c r="F27" i="40"/>
  <c r="J30" i="40"/>
  <c r="F30" i="40"/>
  <c r="AA30" i="40" s="1"/>
  <c r="AC21" i="40"/>
  <c r="S11" i="40"/>
  <c r="F98" i="40"/>
  <c r="G98" i="40" s="1"/>
  <c r="H98" i="40"/>
  <c r="I98" i="40" s="1"/>
  <c r="J98" i="40" s="1"/>
  <c r="K98" i="40" s="1"/>
  <c r="L98" i="40" s="1"/>
  <c r="M98" i="40" s="1"/>
  <c r="F10" i="33"/>
  <c r="F34" i="33"/>
  <c r="H34" i="33"/>
  <c r="F35" i="33"/>
  <c r="F39" i="34"/>
  <c r="S39" i="34" s="1"/>
  <c r="J39" i="34"/>
  <c r="F40" i="34"/>
  <c r="F43" i="34"/>
  <c r="AA43" i="34" s="1"/>
  <c r="H44" i="34"/>
  <c r="AC38" i="39"/>
  <c r="F39" i="39"/>
  <c r="S39" i="39"/>
  <c r="J39" i="39"/>
  <c r="AC39" i="39"/>
  <c r="E97" i="39"/>
  <c r="F97" i="39" s="1"/>
  <c r="G97" i="39" s="1"/>
  <c r="AZ354" i="3"/>
  <c r="C40" i="11"/>
  <c r="AZ215" i="3"/>
  <c r="AZ227" i="3"/>
  <c r="AZ235" i="3"/>
  <c r="AZ240" i="3"/>
  <c r="AZ251" i="3"/>
  <c r="AZ256" i="3"/>
  <c r="AZ271" i="3"/>
  <c r="AZ280" i="3"/>
  <c r="AZ296" i="3"/>
  <c r="AZ114" i="3"/>
  <c r="AZ133" i="3"/>
  <c r="AZ37" i="3"/>
  <c r="AZ42" i="3"/>
  <c r="AZ45" i="3"/>
  <c r="AZ50" i="3"/>
  <c r="AZ53" i="3"/>
  <c r="AZ66" i="3"/>
  <c r="AZ69" i="3"/>
  <c r="AZ72" i="3"/>
  <c r="AZ74" i="3"/>
  <c r="AZ82" i="3"/>
  <c r="AZ86" i="3"/>
  <c r="AZ94" i="3"/>
  <c r="I20" i="43"/>
  <c r="F23" i="39"/>
  <c r="AA23" i="39" s="1"/>
  <c r="H27" i="36"/>
  <c r="F27" i="36"/>
  <c r="AA27" i="36" s="1"/>
  <c r="H33" i="34"/>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AE9" i="1"/>
  <c r="K6" i="1"/>
  <c r="M6" i="1" s="1"/>
  <c r="W26" i="33"/>
  <c r="AC27" i="34"/>
  <c r="U34" i="36"/>
  <c r="W12" i="39"/>
  <c r="AZ401" i="3"/>
  <c r="AZ412" i="3"/>
  <c r="AZ417" i="3"/>
  <c r="AZ428" i="3"/>
  <c r="AZ433" i="3"/>
  <c r="AZ465" i="3"/>
  <c r="W12" i="33"/>
  <c r="AA32" i="36"/>
  <c r="AZ457" i="3"/>
  <c r="AZ473" i="3"/>
  <c r="AZ490" i="3"/>
  <c r="AA39" i="34"/>
  <c r="BL14" i="3"/>
  <c r="U30" i="33"/>
  <c r="AA47" i="34"/>
  <c r="H12" i="39"/>
  <c r="F39" i="40"/>
  <c r="AA39" i="40" s="1"/>
  <c r="BA14" i="3"/>
  <c r="AZ213" i="3"/>
  <c r="AZ238" i="3"/>
  <c r="AZ254" i="3"/>
  <c r="AZ157" i="3"/>
  <c r="AZ181" i="3"/>
  <c r="AZ197" i="3"/>
  <c r="AZ26" i="3"/>
  <c r="AZ41" i="3"/>
  <c r="S12" i="1"/>
  <c r="AQ12" i="1" s="1"/>
  <c r="R12" i="1"/>
  <c r="B12" i="1"/>
  <c r="E12" i="1" s="1"/>
  <c r="S10" i="1"/>
  <c r="T10" i="1" s="1"/>
  <c r="R10" i="1"/>
  <c r="B10" i="1"/>
  <c r="E10" i="1" s="1"/>
  <c r="AZ80" i="3"/>
  <c r="AZ84" i="3"/>
  <c r="AZ88" i="3"/>
  <c r="AZ107" i="3"/>
  <c r="K12" i="1"/>
  <c r="M12" i="1" s="1"/>
  <c r="O12" i="1" s="1"/>
  <c r="S13" i="1"/>
  <c r="AQ13" i="1" s="1"/>
  <c r="R13" i="1"/>
  <c r="S11" i="1"/>
  <c r="AQ11" i="1" s="1"/>
  <c r="R11" i="1"/>
  <c r="S9" i="1"/>
  <c r="AR9" i="1" s="1"/>
  <c r="R9" i="1"/>
  <c r="J51" i="67"/>
  <c r="C42" i="1"/>
  <c r="H100" i="43"/>
  <c r="B41" i="1"/>
  <c r="J100" i="43"/>
  <c r="S35" i="40"/>
  <c r="U35" i="40"/>
  <c r="AC36" i="40"/>
  <c r="AA32" i="40"/>
  <c r="S17" i="40"/>
  <c r="S23" i="40"/>
  <c r="AC17" i="40"/>
  <c r="AC15" i="40"/>
  <c r="S30" i="40"/>
  <c r="AA19" i="40"/>
  <c r="S28" i="40"/>
  <c r="U21" i="40"/>
  <c r="AB19" i="40"/>
  <c r="W42" i="39"/>
  <c r="W39" i="39"/>
  <c r="S37" i="39"/>
  <c r="U35" i="39"/>
  <c r="F32" i="39"/>
  <c r="AA32" i="39" s="1"/>
  <c r="G107" i="39"/>
  <c r="AB27" i="39"/>
  <c r="W19" i="39"/>
  <c r="U19" i="39"/>
  <c r="S17" i="39"/>
  <c r="S15" i="39"/>
  <c r="AB15" i="39"/>
  <c r="S9" i="39"/>
  <c r="AC13" i="39"/>
  <c r="U13" i="36"/>
  <c r="U26" i="36"/>
  <c r="S27" i="36"/>
  <c r="S29" i="36"/>
  <c r="AC26" i="36"/>
  <c r="W14" i="36"/>
  <c r="U22" i="36"/>
  <c r="AA25" i="36"/>
  <c r="U16" i="36"/>
  <c r="S14" i="36"/>
  <c r="W10" i="36"/>
  <c r="AB13" i="35"/>
  <c r="U28" i="35"/>
  <c r="AB27" i="35"/>
  <c r="U36" i="35"/>
  <c r="U32" i="35"/>
  <c r="AA33" i="35"/>
  <c r="AC30" i="35"/>
  <c r="S32" i="35"/>
  <c r="AA36" i="35"/>
  <c r="W32" i="35"/>
  <c r="S28" i="35"/>
  <c r="AB16" i="35"/>
  <c r="U22" i="35"/>
  <c r="AC20" i="35"/>
  <c r="S22" i="35"/>
  <c r="U14" i="35"/>
  <c r="AC10" i="35"/>
  <c r="AB10" i="35"/>
  <c r="AA11" i="35"/>
  <c r="S8" i="35"/>
  <c r="AC9" i="35"/>
  <c r="W9" i="35"/>
  <c r="AC12" i="35"/>
  <c r="W13" i="35"/>
  <c r="F9" i="35"/>
  <c r="H9" i="35"/>
  <c r="AB9" i="35" s="1"/>
  <c r="F26" i="35"/>
  <c r="AA26" i="35"/>
  <c r="J26" i="35"/>
  <c r="H26" i="35"/>
  <c r="U26" i="35" s="1"/>
  <c r="AB40" i="37"/>
  <c r="S25" i="37"/>
  <c r="S26" i="37"/>
  <c r="AC29" i="37"/>
  <c r="U29" i="37"/>
  <c r="S32" i="37"/>
  <c r="W30" i="37"/>
  <c r="AA38" i="37"/>
  <c r="W38" i="37"/>
  <c r="AC35" i="37"/>
  <c r="W39" i="37"/>
  <c r="S30" i="37"/>
  <c r="S37" i="37"/>
  <c r="J17" i="37"/>
  <c r="W17" i="37" s="1"/>
  <c r="G73" i="37"/>
  <c r="F17" i="37"/>
  <c r="AA17" i="37"/>
  <c r="F75" i="37"/>
  <c r="G75" i="37" s="1"/>
  <c r="F19" i="37"/>
  <c r="F79" i="37"/>
  <c r="F23" i="37"/>
  <c r="S23" i="37" s="1"/>
  <c r="U15" i="37"/>
  <c r="AA12" i="37"/>
  <c r="H10" i="37"/>
  <c r="AB10" i="37" s="1"/>
  <c r="H60" i="37"/>
  <c r="F63" i="37"/>
  <c r="G63" i="37" s="1"/>
  <c r="F11" i="37"/>
  <c r="S11" i="37"/>
  <c r="W25" i="34"/>
  <c r="AB8" i="34"/>
  <c r="AA33" i="34"/>
  <c r="U43" i="34"/>
  <c r="W41" i="34"/>
  <c r="AC42" i="34"/>
  <c r="AB35" i="34"/>
  <c r="U39" i="34"/>
  <c r="AA45" i="34"/>
  <c r="W34" i="34"/>
  <c r="AA25" i="34"/>
  <c r="S17" i="34"/>
  <c r="U27" i="34"/>
  <c r="U15" i="34"/>
  <c r="H67" i="34"/>
  <c r="H10" i="34"/>
  <c r="AB10" i="34" s="1"/>
  <c r="F11" i="34"/>
  <c r="S11" i="34" s="1"/>
  <c r="W42" i="33"/>
  <c r="S27" i="33"/>
  <c r="AA29" i="33"/>
  <c r="AB29" i="33"/>
  <c r="W38" i="33"/>
  <c r="H41" i="33"/>
  <c r="F121" i="33"/>
  <c r="G121" i="33" s="1"/>
  <c r="H121" i="33" s="1"/>
  <c r="I121" i="33" s="1"/>
  <c r="J121" i="33" s="1"/>
  <c r="K121" i="33" s="1"/>
  <c r="L121" i="33" s="1"/>
  <c r="M121" i="33" s="1"/>
  <c r="U42" i="33"/>
  <c r="F36" i="33"/>
  <c r="S36" i="33" s="1"/>
  <c r="G111" i="33"/>
  <c r="J35" i="33"/>
  <c r="S37" i="33"/>
  <c r="AA37" i="33"/>
  <c r="S39" i="33"/>
  <c r="G101" i="33"/>
  <c r="H101" i="33" s="1"/>
  <c r="I101" i="33" s="1"/>
  <c r="J101" i="33" s="1"/>
  <c r="K101" i="33" s="1"/>
  <c r="L101" i="33" s="1"/>
  <c r="M101" i="33" s="1"/>
  <c r="J32" i="33"/>
  <c r="S43" i="33"/>
  <c r="H27" i="33"/>
  <c r="U27" i="33" s="1"/>
  <c r="H25" i="33"/>
  <c r="U25" i="33" s="1"/>
  <c r="F25" i="33"/>
  <c r="J23" i="33"/>
  <c r="AC23" i="33" s="1"/>
  <c r="H23" i="33"/>
  <c r="AB23" i="33" s="1"/>
  <c r="F19" i="33"/>
  <c r="W19" i="33"/>
  <c r="J17" i="33"/>
  <c r="W15" i="33"/>
  <c r="I66" i="33"/>
  <c r="J10" i="33"/>
  <c r="H10" i="33"/>
  <c r="U10" i="33" s="1"/>
  <c r="AC11" i="33"/>
  <c r="W43" i="21"/>
  <c r="W41" i="21"/>
  <c r="AA43" i="21"/>
  <c r="AA38" i="21"/>
  <c r="AC40" i="21"/>
  <c r="J15" i="21"/>
  <c r="G77" i="21"/>
  <c r="F23" i="21"/>
  <c r="S23" i="21"/>
  <c r="AC11" i="21"/>
  <c r="AB8" i="21"/>
  <c r="M3" i="43"/>
  <c r="M1" i="43"/>
  <c r="N8" i="43"/>
  <c r="C18" i="9"/>
  <c r="D18" i="9" s="1"/>
  <c r="F34" i="67"/>
  <c r="F62" i="67" s="1"/>
  <c r="F34" i="15"/>
  <c r="F62" i="15" s="1"/>
  <c r="G13" i="3"/>
  <c r="BL17" i="3"/>
  <c r="AZ17" i="3" s="1"/>
  <c r="BL13" i="3"/>
  <c r="J56" i="9"/>
  <c r="J57" i="9" s="1"/>
  <c r="J59" i="9" s="1"/>
  <c r="J61" i="9" s="1"/>
  <c r="A24" i="51"/>
  <c r="B18" i="72" s="1"/>
  <c r="D9" i="11"/>
  <c r="C9" i="11" s="1"/>
  <c r="E32" i="6"/>
  <c r="L19" i="6"/>
  <c r="AR12" i="1"/>
  <c r="E19" i="69"/>
  <c r="E19" i="68"/>
  <c r="E19" i="11"/>
  <c r="E1" i="73"/>
  <c r="G22" i="69"/>
  <c r="G22" i="68"/>
  <c r="G26" i="12"/>
  <c r="G22" i="11"/>
  <c r="C100" i="43"/>
  <c r="E11" i="43"/>
  <c r="E10" i="43"/>
  <c r="E9" i="43"/>
  <c r="E8" i="43"/>
  <c r="E81" i="43"/>
  <c r="B79" i="43" s="1"/>
  <c r="E48" i="43"/>
  <c r="B46" i="43"/>
  <c r="E70" i="43"/>
  <c r="B68" i="43"/>
  <c r="F100" i="43"/>
  <c r="H17" i="43"/>
  <c r="H85" i="43"/>
  <c r="H81" i="43"/>
  <c r="H84" i="43"/>
  <c r="H88" i="43"/>
  <c r="H53" i="43"/>
  <c r="H71" i="43"/>
  <c r="C17" i="43"/>
  <c r="F33" i="43"/>
  <c r="K17" i="43"/>
  <c r="F34" i="43"/>
  <c r="N6" i="43"/>
  <c r="C6" i="43"/>
  <c r="N3" i="43"/>
  <c r="F38" i="43"/>
  <c r="F37" i="43"/>
  <c r="M9" i="43"/>
  <c r="N5" i="43"/>
  <c r="M12" i="43"/>
  <c r="B19" i="53"/>
  <c r="B37" i="72" s="1"/>
  <c r="C7" i="39"/>
  <c r="C68" i="39" s="1"/>
  <c r="C70" i="39" s="1"/>
  <c r="C7" i="35"/>
  <c r="C7" i="33"/>
  <c r="C58" i="33" s="1"/>
  <c r="C7" i="21"/>
  <c r="C58" i="21" s="1"/>
  <c r="C7" i="40"/>
  <c r="C63" i="40" s="1"/>
  <c r="M47" i="9"/>
  <c r="G19" i="43"/>
  <c r="O19" i="43" s="1"/>
  <c r="C19" i="43" s="1"/>
  <c r="T35" i="4"/>
  <c r="A19" i="51" s="1"/>
  <c r="B14" i="72" s="1"/>
  <c r="C46" i="36"/>
  <c r="D46" i="36" s="1"/>
  <c r="C52" i="37"/>
  <c r="D52" i="37" s="1"/>
  <c r="C48" i="35"/>
  <c r="D48" i="35" s="1"/>
  <c r="C4" i="12"/>
  <c r="H65" i="43"/>
  <c r="H63" i="43"/>
  <c r="H56" i="43"/>
  <c r="L20" i="6"/>
  <c r="S8" i="1"/>
  <c r="AR8" i="1" s="1"/>
  <c r="K11" i="1"/>
  <c r="M11" i="1" s="1"/>
  <c r="O11" i="1" s="1"/>
  <c r="AP6" i="1"/>
  <c r="B9" i="1"/>
  <c r="E9" i="1" s="1"/>
  <c r="G1" i="15"/>
  <c r="W23" i="40"/>
  <c r="AB31" i="40"/>
  <c r="S37" i="40"/>
  <c r="AB28" i="40"/>
  <c r="W28" i="40"/>
  <c r="W34" i="40"/>
  <c r="W27" i="40"/>
  <c r="S36" i="40"/>
  <c r="W37" i="40"/>
  <c r="S13" i="40"/>
  <c r="AA15" i="40"/>
  <c r="S31" i="40"/>
  <c r="U15" i="40"/>
  <c r="U8" i="40"/>
  <c r="S8" i="40"/>
  <c r="AA39" i="39"/>
  <c r="AC41" i="39"/>
  <c r="U42" i="39"/>
  <c r="U41" i="39"/>
  <c r="U13" i="39"/>
  <c r="AB13" i="39"/>
  <c r="AA13" i="39"/>
  <c r="U43" i="39"/>
  <c r="AA27" i="39"/>
  <c r="AC17" i="39"/>
  <c r="W31" i="39"/>
  <c r="AC31" i="39"/>
  <c r="S23" i="39"/>
  <c r="AB39" i="39"/>
  <c r="W34" i="39"/>
  <c r="U38" i="39"/>
  <c r="S8" i="39"/>
  <c r="S20" i="36"/>
  <c r="S28" i="36"/>
  <c r="W29" i="36"/>
  <c r="U25" i="36"/>
  <c r="AB28" i="36"/>
  <c r="AA13" i="36"/>
  <c r="W22" i="36"/>
  <c r="AC25" i="35"/>
  <c r="S24" i="35"/>
  <c r="W33" i="35"/>
  <c r="AA30" i="35"/>
  <c r="S35" i="35"/>
  <c r="AA16" i="35"/>
  <c r="AA35" i="37"/>
  <c r="W36" i="37"/>
  <c r="S28" i="37"/>
  <c r="U36" i="37"/>
  <c r="S40" i="37"/>
  <c r="U38" i="37"/>
  <c r="AB37" i="37"/>
  <c r="S33" i="37"/>
  <c r="AB35" i="37"/>
  <c r="AA11" i="37"/>
  <c r="AA31" i="37"/>
  <c r="U19" i="37"/>
  <c r="AA29" i="37"/>
  <c r="AA8" i="37"/>
  <c r="U8" i="37"/>
  <c r="AB40" i="34"/>
  <c r="U19" i="34"/>
  <c r="W19" i="34"/>
  <c r="AC45" i="34"/>
  <c r="AA30" i="34"/>
  <c r="AB47" i="34"/>
  <c r="U25" i="34"/>
  <c r="AB36" i="34"/>
  <c r="W33" i="34"/>
  <c r="AC14" i="34"/>
  <c r="AC32" i="34"/>
  <c r="AC29" i="34"/>
  <c r="W46" i="34"/>
  <c r="S32" i="34"/>
  <c r="U30" i="34"/>
  <c r="S37" i="34"/>
  <c r="U38" i="34"/>
  <c r="AC40" i="34"/>
  <c r="AA19" i="34"/>
  <c r="S19" i="34"/>
  <c r="AA36" i="34"/>
  <c r="AA8" i="34"/>
  <c r="S8" i="34"/>
  <c r="AB9" i="34"/>
  <c r="U9" i="34"/>
  <c r="S46" i="34"/>
  <c r="AA46" i="34"/>
  <c r="U32" i="34"/>
  <c r="AB32" i="34"/>
  <c r="U14" i="34"/>
  <c r="AB14" i="34"/>
  <c r="AC43" i="34"/>
  <c r="AA11" i="34"/>
  <c r="AC23" i="34"/>
  <c r="AC35" i="34"/>
  <c r="W35" i="34"/>
  <c r="U12" i="34"/>
  <c r="AB12" i="34"/>
  <c r="AB28" i="33"/>
  <c r="AC37" i="33"/>
  <c r="U39" i="33"/>
  <c r="U38" i="33"/>
  <c r="S33" i="33"/>
  <c r="U44" i="33"/>
  <c r="AC30" i="33"/>
  <c r="S31" i="33"/>
  <c r="W13" i="33"/>
  <c r="U15" i="33"/>
  <c r="U37" i="33"/>
  <c r="W9" i="33"/>
  <c r="W8" i="33"/>
  <c r="AB42" i="21"/>
  <c r="AA11" i="21"/>
  <c r="I101" i="21"/>
  <c r="J101" i="21" s="1"/>
  <c r="K101" i="21" s="1"/>
  <c r="L101" i="21" s="1"/>
  <c r="M101" i="21" s="1"/>
  <c r="F33" i="21"/>
  <c r="J33" i="21"/>
  <c r="H33" i="21"/>
  <c r="AB33" i="21" s="1"/>
  <c r="F37" i="21"/>
  <c r="AA37" i="21" s="1"/>
  <c r="AA26" i="21"/>
  <c r="AB14" i="21"/>
  <c r="U40" i="21"/>
  <c r="AB31" i="21"/>
  <c r="U31" i="21"/>
  <c r="U13" i="21"/>
  <c r="W8" i="21"/>
  <c r="AB37" i="21"/>
  <c r="J37" i="21"/>
  <c r="W37" i="21"/>
  <c r="H15" i="21"/>
  <c r="U15" i="21"/>
  <c r="J17" i="21"/>
  <c r="AC17" i="21"/>
  <c r="AC19" i="21"/>
  <c r="W39" i="21"/>
  <c r="W30" i="21"/>
  <c r="H45" i="21"/>
  <c r="F29" i="21"/>
  <c r="S29" i="21" s="1"/>
  <c r="F13" i="21"/>
  <c r="AC38" i="21"/>
  <c r="H32" i="21"/>
  <c r="H9" i="21"/>
  <c r="J9" i="21"/>
  <c r="J32" i="21"/>
  <c r="F32" i="21"/>
  <c r="AA31" i="21"/>
  <c r="W29" i="21"/>
  <c r="S19" i="21"/>
  <c r="S9" i="21"/>
  <c r="K141" i="21"/>
  <c r="K144" i="21"/>
  <c r="K143" i="21"/>
  <c r="AB25" i="21"/>
  <c r="AA30" i="21"/>
  <c r="W42" i="21"/>
  <c r="AC45" i="21"/>
  <c r="F10" i="21"/>
  <c r="K145" i="21"/>
  <c r="W17" i="21"/>
  <c r="AA29" i="21"/>
  <c r="S27" i="21"/>
  <c r="AA15" i="21"/>
  <c r="AC26" i="21"/>
  <c r="S28" i="21"/>
  <c r="W10" i="21"/>
  <c r="AB36" i="21"/>
  <c r="C19" i="39"/>
  <c r="C15" i="40"/>
  <c r="C17" i="40"/>
  <c r="C23" i="40"/>
  <c r="C21" i="40"/>
  <c r="B54" i="43"/>
  <c r="B65" i="43"/>
  <c r="B49" i="43"/>
  <c r="B52" i="43"/>
  <c r="B56" i="43"/>
  <c r="B60" i="43"/>
  <c r="B63" i="43"/>
  <c r="B67" i="43"/>
  <c r="D23" i="15"/>
  <c r="D22" i="15"/>
  <c r="E4" i="4"/>
  <c r="B5" i="62" s="1"/>
  <c r="B73" i="72" s="1"/>
  <c r="C4" i="4"/>
  <c r="F30" i="11"/>
  <c r="F31" i="12"/>
  <c r="M18" i="67"/>
  <c r="F30" i="69"/>
  <c r="C30" i="69" s="1"/>
  <c r="M18" i="15"/>
  <c r="S39" i="40"/>
  <c r="F54" i="9"/>
  <c r="J32" i="39"/>
  <c r="H107" i="39"/>
  <c r="I107" i="39" s="1"/>
  <c r="J107" i="39" s="1"/>
  <c r="K107" i="39" s="1"/>
  <c r="L107" i="39" s="1"/>
  <c r="M107" i="39" s="1"/>
  <c r="H32" i="39"/>
  <c r="S32" i="39"/>
  <c r="S26" i="35"/>
  <c r="U9" i="35"/>
  <c r="AA9" i="35"/>
  <c r="S9" i="35"/>
  <c r="AC26" i="35"/>
  <c r="W26" i="35"/>
  <c r="AB26" i="35"/>
  <c r="AC17" i="37"/>
  <c r="S17" i="37"/>
  <c r="J19" i="37"/>
  <c r="S19" i="37"/>
  <c r="AA19" i="37"/>
  <c r="AA23" i="37"/>
  <c r="J23" i="37"/>
  <c r="G79" i="37"/>
  <c r="J10" i="37"/>
  <c r="I60" i="37"/>
  <c r="H11" i="37"/>
  <c r="U10" i="37"/>
  <c r="H11" i="34"/>
  <c r="U10" i="34"/>
  <c r="J10" i="34"/>
  <c r="I67" i="34"/>
  <c r="AB41" i="33"/>
  <c r="U41" i="33"/>
  <c r="W35" i="33"/>
  <c r="AC35" i="33"/>
  <c r="H111" i="33"/>
  <c r="I111" i="33"/>
  <c r="J111" i="33" s="1"/>
  <c r="K111" i="33" s="1"/>
  <c r="L111" i="33" s="1"/>
  <c r="M111" i="33" s="1"/>
  <c r="J36" i="33"/>
  <c r="H36" i="33"/>
  <c r="AB36" i="33" s="1"/>
  <c r="AA36" i="33"/>
  <c r="AC32" i="33"/>
  <c r="W32" i="33"/>
  <c r="AB27" i="33"/>
  <c r="H91" i="33"/>
  <c r="I91" i="33" s="1"/>
  <c r="J91" i="33" s="1"/>
  <c r="K91" i="33" s="1"/>
  <c r="L91" i="33" s="1"/>
  <c r="M91" i="33" s="1"/>
  <c r="J27" i="33"/>
  <c r="AB25" i="33"/>
  <c r="S25" i="33"/>
  <c r="AA25" i="33"/>
  <c r="H87" i="33"/>
  <c r="I87" i="33" s="1"/>
  <c r="J87" i="33" s="1"/>
  <c r="K87" i="33" s="1"/>
  <c r="L87" i="33" s="1"/>
  <c r="M87" i="33" s="1"/>
  <c r="J25" i="33"/>
  <c r="U23" i="33"/>
  <c r="F23" i="33"/>
  <c r="G85" i="33"/>
  <c r="W23" i="33"/>
  <c r="H19" i="33"/>
  <c r="U19" i="33" s="1"/>
  <c r="G79" i="33"/>
  <c r="H17" i="33"/>
  <c r="F17" i="33"/>
  <c r="W17" i="33"/>
  <c r="AC17" i="33"/>
  <c r="AB10" i="33"/>
  <c r="AC10" i="33"/>
  <c r="W10" i="33"/>
  <c r="AC37" i="21"/>
  <c r="U33" i="21"/>
  <c r="S37" i="21"/>
  <c r="AA23" i="21"/>
  <c r="AB15" i="21"/>
  <c r="J23" i="21"/>
  <c r="W23" i="21" s="1"/>
  <c r="G85" i="21"/>
  <c r="H23" i="21"/>
  <c r="U23" i="21" s="1"/>
  <c r="AP7" i="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s="1"/>
  <c r="J63" i="37"/>
  <c r="K63" i="37" s="1"/>
  <c r="L63" i="37" s="1"/>
  <c r="M63" i="37" s="1"/>
  <c r="J11" i="37"/>
  <c r="W10" i="37"/>
  <c r="AC10" i="37"/>
  <c r="U11" i="34"/>
  <c r="AB11" i="34"/>
  <c r="AC10" i="34"/>
  <c r="W10" i="34"/>
  <c r="H70" i="34"/>
  <c r="I70" i="34" s="1"/>
  <c r="J70" i="34" s="1"/>
  <c r="K70" i="34" s="1"/>
  <c r="L70" i="34" s="1"/>
  <c r="M70" i="34" s="1"/>
  <c r="J11" i="34"/>
  <c r="AC11" i="34" s="1"/>
  <c r="AC36" i="33"/>
  <c r="W36" i="33"/>
  <c r="U36" i="33"/>
  <c r="W27" i="33"/>
  <c r="AC27" i="33"/>
  <c r="W25" i="33"/>
  <c r="AC25" i="33"/>
  <c r="AA23" i="33"/>
  <c r="S23" i="33"/>
  <c r="AB19" i="33"/>
  <c r="AA17" i="33"/>
  <c r="S17" i="33"/>
  <c r="U17" i="33"/>
  <c r="AB17" i="33"/>
  <c r="AB23" i="21"/>
  <c r="AC23" i="21"/>
  <c r="AC11" i="37"/>
  <c r="W11" i="37"/>
  <c r="W11" i="34"/>
  <c r="F34" i="11"/>
  <c r="C36" i="11" s="1"/>
  <c r="F11" i="12"/>
  <c r="C23" i="12" s="1"/>
  <c r="F34" i="68"/>
  <c r="R8" i="1"/>
  <c r="AE8" i="1"/>
  <c r="AG6" i="1"/>
  <c r="H109" i="9"/>
  <c r="D16" i="53" s="1"/>
  <c r="D124" i="9"/>
  <c r="H14" i="74" s="1"/>
  <c r="B7" i="74" s="1"/>
  <c r="H112" i="9"/>
  <c r="D21" i="53" s="1"/>
  <c r="B39" i="72" s="1"/>
  <c r="H111" i="9"/>
  <c r="D126" i="9" s="1"/>
  <c r="I14" i="74" s="1"/>
  <c r="B8" i="74" s="1"/>
  <c r="D19" i="53"/>
  <c r="B38" i="72" s="1"/>
  <c r="D20" i="53"/>
  <c r="B40" i="72" s="1"/>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8" i="39"/>
  <c r="D70" i="39" s="1"/>
  <c r="E46" i="36"/>
  <c r="F46" i="36" s="1"/>
  <c r="G46" i="36" s="1"/>
  <c r="H46" i="36" s="1"/>
  <c r="I46" i="36" s="1"/>
  <c r="AB18" i="71"/>
  <c r="X16" i="71"/>
  <c r="X15" i="71"/>
  <c r="AA16" i="71"/>
  <c r="AA15" i="71"/>
  <c r="X19" i="71"/>
  <c r="Y15" i="71"/>
  <c r="Z15" i="71" s="1"/>
  <c r="AB16" i="71"/>
  <c r="AB15" i="71"/>
  <c r="C94" i="9"/>
  <c r="C92" i="9"/>
  <c r="Y16" i="71"/>
  <c r="Z16" i="71" s="1"/>
  <c r="X3" i="71"/>
  <c r="G20" i="43"/>
  <c r="E41" i="43" s="1"/>
  <c r="C41" i="43" s="1"/>
  <c r="E68" i="39"/>
  <c r="F68" i="39" s="1"/>
  <c r="I59" i="34"/>
  <c r="J59" i="34" s="1"/>
  <c r="D2" i="36"/>
  <c r="E2" i="68"/>
  <c r="E7" i="76"/>
  <c r="F5" i="73"/>
  <c r="B12" i="76"/>
  <c r="E13" i="76"/>
  <c r="J15" i="15"/>
  <c r="F36" i="15"/>
  <c r="C76" i="15"/>
  <c r="D2" i="37"/>
  <c r="F3" i="73"/>
  <c r="AO10" i="1"/>
  <c r="M9" i="15"/>
  <c r="E12" i="76"/>
  <c r="L47" i="15"/>
  <c r="E8" i="76"/>
  <c r="F7" i="73"/>
  <c r="M8" i="15"/>
  <c r="M26" i="15"/>
  <c r="E2" i="69"/>
  <c r="E10" i="76"/>
  <c r="D5" i="73"/>
  <c r="AO8" i="1"/>
  <c r="E11" i="76"/>
  <c r="F13" i="15"/>
  <c r="F40" i="15"/>
  <c r="F42" i="15"/>
  <c r="E9" i="76"/>
  <c r="B8" i="76"/>
  <c r="AO9" i="1"/>
  <c r="L48" i="15"/>
  <c r="B13" i="76"/>
  <c r="AO13" i="1"/>
  <c r="F8" i="15"/>
  <c r="B9" i="76"/>
  <c r="F38" i="15"/>
  <c r="B11" i="76"/>
  <c r="F37" i="15"/>
  <c r="F9" i="15"/>
  <c r="B7" i="76"/>
  <c r="F6" i="15"/>
  <c r="D6" i="73"/>
  <c r="D3" i="73"/>
  <c r="D2" i="35"/>
  <c r="AO12" i="1"/>
  <c r="AO11" i="1"/>
  <c r="M23" i="15"/>
  <c r="D2" i="33"/>
  <c r="D4" i="73"/>
  <c r="M22" i="15"/>
  <c r="F4" i="73"/>
  <c r="F16" i="15"/>
  <c r="M28" i="15"/>
  <c r="D2" i="21"/>
  <c r="B10" i="76"/>
  <c r="D7" i="73"/>
  <c r="F20" i="31"/>
  <c r="M6" i="15"/>
  <c r="M27" i="15"/>
  <c r="D2" i="34"/>
  <c r="F26" i="15"/>
  <c r="M24" i="15"/>
  <c r="F6" i="73"/>
  <c r="I4" i="6" l="1"/>
  <c r="G3" i="43" s="1"/>
  <c r="B113" i="43" s="1"/>
  <c r="I115" i="43" s="1"/>
  <c r="J115" i="43" s="1"/>
  <c r="K115" i="43" s="1"/>
  <c r="L115" i="43" s="1"/>
  <c r="M115" i="43" s="1"/>
  <c r="AA41" i="39"/>
  <c r="T12" i="1"/>
  <c r="W15" i="21"/>
  <c r="AC15" i="21"/>
  <c r="AZ499" i="3"/>
  <c r="AB34" i="35"/>
  <c r="U34" i="35"/>
  <c r="W9" i="36"/>
  <c r="AC9" i="36"/>
  <c r="AB33" i="36"/>
  <c r="U33" i="36"/>
  <c r="H110" i="9"/>
  <c r="D18" i="53" s="1"/>
  <c r="B35" i="72" s="1"/>
  <c r="AZ14" i="3"/>
  <c r="S23" i="35"/>
  <c r="AA23" i="35"/>
  <c r="W11" i="36"/>
  <c r="AC11" i="36"/>
  <c r="W23" i="36"/>
  <c r="AC23" i="36"/>
  <c r="W40" i="40"/>
  <c r="AC40" i="40"/>
  <c r="C20" i="43"/>
  <c r="AZ362" i="3"/>
  <c r="AZ510" i="3"/>
  <c r="AZ552" i="3"/>
  <c r="BA585" i="3"/>
  <c r="BA550" i="3"/>
  <c r="BA548" i="3"/>
  <c r="AZ548" i="3" s="1"/>
  <c r="BA545" i="3"/>
  <c r="BL544" i="3"/>
  <c r="BA544" i="3"/>
  <c r="AZ544" i="3" s="1"/>
  <c r="BL542" i="3"/>
  <c r="BA542" i="3"/>
  <c r="AZ542" i="3" s="1"/>
  <c r="BA541" i="3"/>
  <c r="BA540" i="3"/>
  <c r="AZ540" i="3" s="1"/>
  <c r="BA538" i="3"/>
  <c r="AZ538" i="3" s="1"/>
  <c r="BA537" i="3"/>
  <c r="BL536" i="3"/>
  <c r="BA536" i="3"/>
  <c r="AZ536" i="3" s="1"/>
  <c r="BL534" i="3"/>
  <c r="BA534" i="3"/>
  <c r="AZ534" i="3" s="1"/>
  <c r="BA533" i="3"/>
  <c r="BL532" i="3"/>
  <c r="BA532" i="3"/>
  <c r="BA530" i="3"/>
  <c r="AZ530" i="3" s="1"/>
  <c r="BA529" i="3"/>
  <c r="BL528" i="3"/>
  <c r="BK5" i="3"/>
  <c r="BG5" i="3"/>
  <c r="BC5" i="3"/>
  <c r="BS5" i="3"/>
  <c r="F28" i="6" s="1"/>
  <c r="BL526" i="3"/>
  <c r="AZ526" i="3" s="1"/>
  <c r="BJ5" i="3"/>
  <c r="BF5" i="3"/>
  <c r="BB5" i="3"/>
  <c r="C7" i="43"/>
  <c r="S43" i="34"/>
  <c r="U32" i="37"/>
  <c r="S20" i="35"/>
  <c r="AB20" i="36"/>
  <c r="AC27" i="36"/>
  <c r="AC34" i="33"/>
  <c r="AZ379" i="3"/>
  <c r="AZ357" i="3"/>
  <c r="AZ318" i="3"/>
  <c r="AZ355" i="3"/>
  <c r="AZ394" i="3"/>
  <c r="AZ325" i="3"/>
  <c r="K5" i="4"/>
  <c r="B47" i="48" s="1"/>
  <c r="AC13" i="40"/>
  <c r="AC46" i="21"/>
  <c r="AB37" i="34"/>
  <c r="AA41" i="34"/>
  <c r="AZ503" i="3"/>
  <c r="AZ528" i="3"/>
  <c r="AZ564" i="3"/>
  <c r="AA14" i="37"/>
  <c r="AC44" i="33"/>
  <c r="F30" i="33"/>
  <c r="U14" i="33"/>
  <c r="J13" i="36"/>
  <c r="F11" i="36"/>
  <c r="H11" i="36"/>
  <c r="J32" i="36"/>
  <c r="H32" i="36"/>
  <c r="H29" i="21"/>
  <c r="H27" i="21"/>
  <c r="J28" i="33"/>
  <c r="F28" i="33"/>
  <c r="U23" i="40"/>
  <c r="S15" i="34"/>
  <c r="U34" i="37"/>
  <c r="S8" i="33"/>
  <c r="F34" i="36"/>
  <c r="F33" i="36"/>
  <c r="C15" i="39"/>
  <c r="C21" i="39"/>
  <c r="C25" i="39"/>
  <c r="S40" i="21"/>
  <c r="J27" i="39"/>
  <c r="AC27" i="39" s="1"/>
  <c r="S38" i="39"/>
  <c r="S34" i="40"/>
  <c r="AC9" i="40"/>
  <c r="S40" i="33"/>
  <c r="U34" i="34"/>
  <c r="S34" i="35"/>
  <c r="U30" i="37"/>
  <c r="W40" i="39"/>
  <c r="BL587" i="3"/>
  <c r="BA587" i="3"/>
  <c r="AZ587" i="3" s="1"/>
  <c r="BL586" i="3"/>
  <c r="AZ586" i="3" s="1"/>
  <c r="F9" i="33"/>
  <c r="AA9" i="33" s="1"/>
  <c r="H12" i="33"/>
  <c r="U12" i="33" s="1"/>
  <c r="F9" i="36"/>
  <c r="H9" i="36"/>
  <c r="F23" i="36"/>
  <c r="H23" i="36"/>
  <c r="F40" i="40"/>
  <c r="G578" i="3"/>
  <c r="BA577" i="3"/>
  <c r="G576" i="3"/>
  <c r="G575" i="3"/>
  <c r="BL574" i="3"/>
  <c r="AZ574" i="3" s="1"/>
  <c r="BA573" i="3"/>
  <c r="BL572" i="3"/>
  <c r="AZ572" i="3" s="1"/>
  <c r="G571" i="3"/>
  <c r="G562" i="3"/>
  <c r="BA561" i="3"/>
  <c r="G560" i="3"/>
  <c r="G559" i="3"/>
  <c r="BL558" i="3"/>
  <c r="BA558" i="3"/>
  <c r="AZ558" i="3" s="1"/>
  <c r="BL556" i="3"/>
  <c r="BA556" i="3"/>
  <c r="AZ556" i="3" s="1"/>
  <c r="G526" i="3"/>
  <c r="G14" i="3"/>
  <c r="BL15" i="3"/>
  <c r="AZ15" i="3" s="1"/>
  <c r="A15" i="62"/>
  <c r="B61" i="72" s="1"/>
  <c r="G400" i="3"/>
  <c r="BL400" i="3"/>
  <c r="AZ400" i="3" s="1"/>
  <c r="BA403" i="3"/>
  <c r="BL403" i="3"/>
  <c r="BA404" i="3"/>
  <c r="AZ404" i="3" s="1"/>
  <c r="BL408" i="3"/>
  <c r="AZ408" i="3" s="1"/>
  <c r="BA409" i="3"/>
  <c r="AZ409" i="3" s="1"/>
  <c r="G412" i="3"/>
  <c r="G413" i="3"/>
  <c r="BL413" i="3"/>
  <c r="BA414" i="3"/>
  <c r="AZ414" i="3" s="1"/>
  <c r="G417" i="3"/>
  <c r="G418" i="3"/>
  <c r="G422" i="3"/>
  <c r="G424" i="3"/>
  <c r="BL424" i="3"/>
  <c r="BA425" i="3"/>
  <c r="AZ425" i="3" s="1"/>
  <c r="G428" i="3"/>
  <c r="G429" i="3"/>
  <c r="BL429" i="3"/>
  <c r="AZ429" i="3" s="1"/>
  <c r="BA430" i="3"/>
  <c r="AZ430" i="3" s="1"/>
  <c r="G433" i="3"/>
  <c r="G434" i="3"/>
  <c r="BL437" i="3"/>
  <c r="AZ437" i="3" s="1"/>
  <c r="G439" i="3"/>
  <c r="BL439" i="3"/>
  <c r="AZ439" i="3" s="1"/>
  <c r="BA440" i="3"/>
  <c r="AZ440" i="3" s="1"/>
  <c r="BA441" i="3"/>
  <c r="AZ441" i="3" s="1"/>
  <c r="BA442" i="3"/>
  <c r="BL442" i="3"/>
  <c r="G444" i="3"/>
  <c r="BL444" i="3"/>
  <c r="BA445" i="3"/>
  <c r="AZ445" i="3" s="1"/>
  <c r="BA446" i="3"/>
  <c r="AZ446" i="3" s="1"/>
  <c r="BL446" i="3"/>
  <c r="BA447" i="3"/>
  <c r="AZ447" i="3" s="1"/>
  <c r="G450" i="3"/>
  <c r="G454" i="3"/>
  <c r="G456" i="3"/>
  <c r="BL456" i="3"/>
  <c r="BA459" i="3"/>
  <c r="BL459" i="3"/>
  <c r="BA460" i="3"/>
  <c r="AZ460" i="3" s="1"/>
  <c r="G465" i="3"/>
  <c r="G466" i="3"/>
  <c r="BL466" i="3"/>
  <c r="AZ466" i="3" s="1"/>
  <c r="BA467" i="3"/>
  <c r="AZ467" i="3" s="1"/>
  <c r="G472" i="3"/>
  <c r="BL472" i="3"/>
  <c r="G475" i="3"/>
  <c r="BL475" i="3"/>
  <c r="BA476" i="3"/>
  <c r="AZ476" i="3" s="1"/>
  <c r="BA477" i="3"/>
  <c r="BL477" i="3"/>
  <c r="BA478" i="3"/>
  <c r="AZ478" i="3" s="1"/>
  <c r="G481" i="3"/>
  <c r="G483" i="3"/>
  <c r="BL483" i="3"/>
  <c r="AZ483" i="3" s="1"/>
  <c r="BA484" i="3"/>
  <c r="AZ484" i="3" s="1"/>
  <c r="G487" i="3"/>
  <c r="G489" i="3"/>
  <c r="BL489" i="3"/>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212" i="3"/>
  <c r="BL214" i="3"/>
  <c r="AZ214" i="3" s="1"/>
  <c r="G217" i="3"/>
  <c r="BL217" i="3"/>
  <c r="AZ217" i="3" s="1"/>
  <c r="G220" i="3"/>
  <c r="BL220" i="3"/>
  <c r="BA221" i="3"/>
  <c r="AZ221" i="3" s="1"/>
  <c r="BA222" i="3"/>
  <c r="AZ222" i="3" s="1"/>
  <c r="BA223" i="3"/>
  <c r="AZ223" i="3" s="1"/>
  <c r="BA224" i="3"/>
  <c r="AZ224" i="3" s="1"/>
  <c r="G227" i="3"/>
  <c r="G228" i="3"/>
  <c r="BL228" i="3"/>
  <c r="AZ272" i="3"/>
  <c r="AZ402" i="3"/>
  <c r="AZ406" i="3"/>
  <c r="AZ413" i="3"/>
  <c r="AZ419" i="3"/>
  <c r="AZ424" i="3"/>
  <c r="AZ435" i="3"/>
  <c r="AZ444" i="3"/>
  <c r="AZ451" i="3"/>
  <c r="AZ456" i="3"/>
  <c r="AZ458" i="3"/>
  <c r="AZ462" i="3"/>
  <c r="AZ469" i="3"/>
  <c r="AZ472" i="3"/>
  <c r="AZ475" i="3"/>
  <c r="AZ489" i="3"/>
  <c r="AZ316" i="3"/>
  <c r="AZ332" i="3"/>
  <c r="AZ397" i="3"/>
  <c r="AZ212" i="3"/>
  <c r="AZ220" i="3"/>
  <c r="AZ228" i="3"/>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BL257" i="3"/>
  <c r="AZ257" i="3" s="1"/>
  <c r="BA258" i="3"/>
  <c r="AZ258" i="3" s="1"/>
  <c r="BA259" i="3"/>
  <c r="AZ259" i="3" s="1"/>
  <c r="BA261" i="3"/>
  <c r="AZ261" i="3" s="1"/>
  <c r="BL263" i="3"/>
  <c r="AZ263" i="3" s="1"/>
  <c r="BA264" i="3"/>
  <c r="AZ264" i="3" s="1"/>
  <c r="BA265" i="3"/>
  <c r="AZ265" i="3" s="1"/>
  <c r="BA266" i="3"/>
  <c r="AZ266" i="3" s="1"/>
  <c r="BL268" i="3"/>
  <c r="AZ268" i="3" s="1"/>
  <c r="G271" i="3"/>
  <c r="G272" i="3"/>
  <c r="BL272" i="3"/>
  <c r="BA274" i="3"/>
  <c r="AZ274" i="3" s="1"/>
  <c r="BA275" i="3"/>
  <c r="AZ275" i="3" s="1"/>
  <c r="BA277" i="3"/>
  <c r="AZ277" i="3" s="1"/>
  <c r="BL279" i="3"/>
  <c r="AZ279" i="3" s="1"/>
  <c r="BL281" i="3"/>
  <c r="AZ281" i="3" s="1"/>
  <c r="BA282" i="3"/>
  <c r="AZ282" i="3" s="1"/>
  <c r="BA283" i="3"/>
  <c r="AZ283" i="3" s="1"/>
  <c r="G286" i="3"/>
  <c r="AZ137" i="3"/>
  <c r="AZ27" i="3"/>
  <c r="K1" i="12"/>
  <c r="G1" i="79"/>
  <c r="AB21" i="21"/>
  <c r="U21" i="21"/>
  <c r="AB21" i="34"/>
  <c r="U21" i="34"/>
  <c r="U21" i="37"/>
  <c r="AB21" i="37"/>
  <c r="AC29" i="39"/>
  <c r="W29" i="39"/>
  <c r="C60" i="71"/>
  <c r="BA286" i="3"/>
  <c r="AZ286" i="3" s="1"/>
  <c r="BA287" i="3"/>
  <c r="AZ287" i="3" s="1"/>
  <c r="BA288" i="3"/>
  <c r="AZ288" i="3" s="1"/>
  <c r="G291" i="3"/>
  <c r="G292" i="3"/>
  <c r="BL292" i="3"/>
  <c r="AZ292" i="3" s="1"/>
  <c r="BA293" i="3"/>
  <c r="AZ293" i="3" s="1"/>
  <c r="BL295" i="3"/>
  <c r="AZ295" i="3" s="1"/>
  <c r="BL297" i="3"/>
  <c r="AZ297" i="3" s="1"/>
  <c r="G299" i="3"/>
  <c r="G300" i="3"/>
  <c r="BL300" i="3"/>
  <c r="G302" i="3"/>
  <c r="BL302" i="3"/>
  <c r="BL113" i="3"/>
  <c r="G116" i="3"/>
  <c r="BA117" i="3"/>
  <c r="AZ117" i="3" s="1"/>
  <c r="G120" i="3"/>
  <c r="G123" i="3"/>
  <c r="BA125" i="3"/>
  <c r="AZ125" i="3" s="1"/>
  <c r="G128" i="3"/>
  <c r="BL130" i="3"/>
  <c r="AZ130" i="3" s="1"/>
  <c r="BA132" i="3"/>
  <c r="AZ132" i="3" s="1"/>
  <c r="G134" i="3"/>
  <c r="BL134" i="3"/>
  <c r="AZ134" i="3" s="1"/>
  <c r="BA136" i="3"/>
  <c r="AZ136" i="3" s="1"/>
  <c r="BL137" i="3"/>
  <c r="G140" i="3"/>
  <c r="BL142" i="3"/>
  <c r="AZ142" i="3" s="1"/>
  <c r="BA144" i="3"/>
  <c r="AZ144" i="3" s="1"/>
  <c r="BL145" i="3"/>
  <c r="AZ145" i="3" s="1"/>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G170" i="3"/>
  <c r="G171" i="3"/>
  <c r="BL173" i="3"/>
  <c r="AZ173" i="3" s="1"/>
  <c r="G176" i="3"/>
  <c r="BL178" i="3"/>
  <c r="AZ178" i="3" s="1"/>
  <c r="BA180" i="3"/>
  <c r="AZ180" i="3" s="1"/>
  <c r="G182" i="3"/>
  <c r="G183" i="3"/>
  <c r="G186" i="3"/>
  <c r="G187" i="3"/>
  <c r="BL189" i="3"/>
  <c r="AZ189" i="3" s="1"/>
  <c r="G192" i="3"/>
  <c r="BL194" i="3"/>
  <c r="AZ194" i="3" s="1"/>
  <c r="BA196" i="3"/>
  <c r="AZ196" i="3" s="1"/>
  <c r="G198" i="3"/>
  <c r="G199" i="3"/>
  <c r="BA201" i="3"/>
  <c r="AZ201" i="3" s="1"/>
  <c r="BA202" i="3"/>
  <c r="AZ202" i="3" s="1"/>
  <c r="BL203" i="3"/>
  <c r="AZ203" i="3" s="1"/>
  <c r="BL206" i="3"/>
  <c r="AZ206" i="3" s="1"/>
  <c r="BA207" i="3"/>
  <c r="AZ207" i="3" s="1"/>
  <c r="BL19" i="3"/>
  <c r="AZ19" i="3" s="1"/>
  <c r="BL21" i="3"/>
  <c r="AZ21" i="3" s="1"/>
  <c r="G23" i="3"/>
  <c r="BL23" i="3"/>
  <c r="G26" i="3"/>
  <c r="G27" i="3"/>
  <c r="BL27" i="3"/>
  <c r="BL29" i="3"/>
  <c r="AZ29" i="3" s="1"/>
  <c r="BA30" i="3"/>
  <c r="AZ30" i="3" s="1"/>
  <c r="B75" i="43"/>
  <c r="B66" i="43"/>
  <c r="C29" i="39"/>
  <c r="B55" i="43"/>
  <c r="AB18" i="36"/>
  <c r="U18" i="36"/>
  <c r="P61" i="71"/>
  <c r="P62" i="71"/>
  <c r="C36" i="71"/>
  <c r="D35" i="71"/>
  <c r="D26" i="71"/>
  <c r="C27" i="71"/>
  <c r="AB27" i="71"/>
  <c r="AB25" i="71"/>
  <c r="AB22" i="71"/>
  <c r="AB24" i="71"/>
  <c r="AA27" i="71"/>
  <c r="AA26" i="71"/>
  <c r="C30" i="71"/>
  <c r="Y29" i="71"/>
  <c r="Z29" i="71" s="1"/>
  <c r="Y26" i="71"/>
  <c r="Z26" i="71" s="1"/>
  <c r="Y21" i="71"/>
  <c r="Z21" i="71" s="1"/>
  <c r="Y24" i="71"/>
  <c r="Z24" i="71" s="1"/>
  <c r="Y22" i="71"/>
  <c r="Z22" i="71" s="1"/>
  <c r="F30" i="71"/>
  <c r="F31" i="71" s="1"/>
  <c r="F32" i="71" s="1"/>
  <c r="V32" i="71" s="1"/>
  <c r="AB29" i="71"/>
  <c r="AA29" i="71"/>
  <c r="AA30" i="71"/>
  <c r="E31" i="71"/>
  <c r="E32" i="71" s="1"/>
  <c r="U32" i="71" s="1"/>
  <c r="X29" i="71"/>
  <c r="X28" i="71"/>
  <c r="X30" i="71"/>
  <c r="X23" i="71"/>
  <c r="Y35" i="71"/>
  <c r="Z35" i="71" s="1"/>
  <c r="Y34" i="71"/>
  <c r="Z34" i="71" s="1"/>
  <c r="Y32" i="71"/>
  <c r="Z32" i="71" s="1"/>
  <c r="F62" i="71"/>
  <c r="Q63" i="71"/>
  <c r="T64" i="71"/>
  <c r="D64" i="71"/>
  <c r="C63" i="71"/>
  <c r="O64" i="71"/>
  <c r="V64" i="71"/>
  <c r="Q64" i="71"/>
  <c r="U68" i="71"/>
  <c r="E67" i="71"/>
  <c r="E66" i="71" s="1"/>
  <c r="T72" i="71"/>
  <c r="C71" i="71"/>
  <c r="D72" i="71"/>
  <c r="U76" i="71"/>
  <c r="E75" i="71"/>
  <c r="E74" i="71" s="1"/>
  <c r="D80" i="71"/>
  <c r="C79" i="71"/>
  <c r="M56" i="9"/>
  <c r="K56" i="9"/>
  <c r="X22" i="71"/>
  <c r="AA22" i="71"/>
  <c r="AA21" i="71"/>
  <c r="E19" i="71"/>
  <c r="E18" i="71" s="1"/>
  <c r="E17" i="71" s="1"/>
  <c r="E16" i="71" s="1"/>
  <c r="V20" i="71"/>
  <c r="AB21" i="71"/>
  <c r="BA31" i="3"/>
  <c r="AZ31" i="3" s="1"/>
  <c r="BA32" i="3"/>
  <c r="AZ32" i="3" s="1"/>
  <c r="BA33" i="3"/>
  <c r="AZ33" i="3" s="1"/>
  <c r="BL35" i="3"/>
  <c r="AZ35" i="3" s="1"/>
  <c r="G37" i="3"/>
  <c r="G38" i="3"/>
  <c r="BL38" i="3"/>
  <c r="G41" i="3"/>
  <c r="G42" i="3"/>
  <c r="G43" i="3"/>
  <c r="G44" i="3"/>
  <c r="BL44" i="3"/>
  <c r="AZ44" i="3" s="1"/>
  <c r="BA46" i="3"/>
  <c r="AZ46" i="3" s="1"/>
  <c r="BA47" i="3"/>
  <c r="AZ47" i="3" s="1"/>
  <c r="G50" i="3"/>
  <c r="G51" i="3"/>
  <c r="G52" i="3"/>
  <c r="BL52" i="3"/>
  <c r="AZ52" i="3" s="1"/>
  <c r="G55" i="3"/>
  <c r="G56" i="3"/>
  <c r="BL56" i="3"/>
  <c r="AZ56" i="3" s="1"/>
  <c r="BA57" i="3"/>
  <c r="AZ57" i="3" s="1"/>
  <c r="BA58" i="3"/>
  <c r="AZ58" i="3" s="1"/>
  <c r="BA59" i="3"/>
  <c r="AZ59" i="3" s="1"/>
  <c r="BL61" i="3"/>
  <c r="AZ61" i="3" s="1"/>
  <c r="BA62" i="3"/>
  <c r="AZ62" i="3" s="1"/>
  <c r="BA63" i="3"/>
  <c r="AZ63" i="3" s="1"/>
  <c r="G66" i="3"/>
  <c r="G67" i="3"/>
  <c r="G68" i="3"/>
  <c r="BL68" i="3"/>
  <c r="AZ68" i="3" s="1"/>
  <c r="G71" i="3"/>
  <c r="G72" i="3"/>
  <c r="G73" i="3"/>
  <c r="BL73" i="3"/>
  <c r="AZ73" i="3" s="1"/>
  <c r="BL75" i="3"/>
  <c r="AZ75" i="3" s="1"/>
  <c r="BA76" i="3"/>
  <c r="AZ76" i="3" s="1"/>
  <c r="BA77" i="3"/>
  <c r="AZ77" i="3" s="1"/>
  <c r="BL79" i="3"/>
  <c r="AZ79" i="3" s="1"/>
  <c r="G82" i="3"/>
  <c r="G83" i="3"/>
  <c r="G84" i="3"/>
  <c r="G85" i="3"/>
  <c r="G86" i="3"/>
  <c r="G87" i="3"/>
  <c r="BL87" i="3"/>
  <c r="AZ87" i="3" s="1"/>
  <c r="BL89" i="3"/>
  <c r="AZ89" i="3" s="1"/>
  <c r="BA90" i="3"/>
  <c r="AZ90" i="3" s="1"/>
  <c r="G93" i="3"/>
  <c r="G94" i="3"/>
  <c r="G95" i="3"/>
  <c r="BL95" i="3"/>
  <c r="AZ95" i="3" s="1"/>
  <c r="BA96" i="3"/>
  <c r="BL96" i="3"/>
  <c r="G99" i="3"/>
  <c r="BL99" i="3"/>
  <c r="AZ99" i="3" s="1"/>
  <c r="BA100" i="3"/>
  <c r="AZ100" i="3" s="1"/>
  <c r="BA101" i="3"/>
  <c r="AZ101" i="3" s="1"/>
  <c r="BA102" i="3"/>
  <c r="AZ102" i="3" s="1"/>
  <c r="G105" i="3"/>
  <c r="G106" i="3"/>
  <c r="BL106" i="3"/>
  <c r="AZ106" i="3" s="1"/>
  <c r="BA108" i="3"/>
  <c r="AZ108" i="3" s="1"/>
  <c r="BA109" i="3"/>
  <c r="AZ109" i="3" s="1"/>
  <c r="BA110" i="3"/>
  <c r="AZ110" i="3" s="1"/>
  <c r="BA111" i="3"/>
  <c r="AZ111" i="3" s="1"/>
  <c r="J51" i="15"/>
  <c r="W21" i="21"/>
  <c r="AC21" i="21"/>
  <c r="AA21" i="21"/>
  <c r="S21" i="21"/>
  <c r="E103" i="39"/>
  <c r="F103" i="39" s="1"/>
  <c r="G103" i="39" s="1"/>
  <c r="F29" i="39"/>
  <c r="H29" i="39"/>
  <c r="E22" i="71"/>
  <c r="B32" i="71"/>
  <c r="S32" i="71" s="1"/>
  <c r="AB12" i="43"/>
  <c r="AB10" i="43"/>
  <c r="AF12" i="43"/>
  <c r="AF10" i="43"/>
  <c r="AJ12" i="43"/>
  <c r="AJ10" i="43"/>
  <c r="E59" i="43"/>
  <c r="B57" i="43" s="1"/>
  <c r="B24" i="71"/>
  <c r="X24" i="71"/>
  <c r="Y25" i="71"/>
  <c r="Z25" i="71" s="1"/>
  <c r="F28" i="71"/>
  <c r="V28" i="71" s="1"/>
  <c r="AA24" i="71"/>
  <c r="X25" i="71"/>
  <c r="X26" i="71"/>
  <c r="X27" i="71"/>
  <c r="Y33" i="71"/>
  <c r="Z33" i="71" s="1"/>
  <c r="X35" i="71"/>
  <c r="X34" i="71"/>
  <c r="P64" i="71"/>
  <c r="U64" i="71"/>
  <c r="AB23" i="71"/>
  <c r="Y23" i="71"/>
  <c r="Z23" i="71" s="1"/>
  <c r="AA3" i="71"/>
  <c r="AB26" i="71"/>
  <c r="Y27" i="71"/>
  <c r="Z27" i="71" s="1"/>
  <c r="AB28" i="71"/>
  <c r="AB30" i="71"/>
  <c r="Y31" i="71"/>
  <c r="Z31" i="71" s="1"/>
  <c r="AB32" i="71"/>
  <c r="F18" i="71"/>
  <c r="F17" i="71" s="1"/>
  <c r="F16" i="71" s="1"/>
  <c r="F15" i="71" s="1"/>
  <c r="F14" i="71" s="1"/>
  <c r="F13" i="71" s="1"/>
  <c r="G99" i="39"/>
  <c r="H25" i="39"/>
  <c r="F25" i="39"/>
  <c r="J25" i="39"/>
  <c r="AC25" i="39" s="1"/>
  <c r="AB23" i="39"/>
  <c r="F95" i="39"/>
  <c r="G95" i="39" s="1"/>
  <c r="F21" i="39"/>
  <c r="H21" i="39"/>
  <c r="J21" i="39"/>
  <c r="AC21" i="39" s="1"/>
  <c r="W27" i="39"/>
  <c r="W23" i="39"/>
  <c r="W21" i="39"/>
  <c r="S19" i="39"/>
  <c r="AC15" i="39"/>
  <c r="F81" i="39"/>
  <c r="G81" i="39" s="1"/>
  <c r="H81" i="39" s="1"/>
  <c r="I81" i="39" s="1"/>
  <c r="J81" i="39" s="1"/>
  <c r="K81" i="39" s="1"/>
  <c r="L81" i="39" s="1"/>
  <c r="M81" i="39" s="1"/>
  <c r="H11" i="39"/>
  <c r="F11" i="39"/>
  <c r="J11" i="39"/>
  <c r="M20" i="15"/>
  <c r="M20" i="79"/>
  <c r="F34" i="79"/>
  <c r="F62" i="79" s="1"/>
  <c r="F32" i="79"/>
  <c r="F28" i="79"/>
  <c r="C28" i="79" s="1"/>
  <c r="M18" i="79"/>
  <c r="D68" i="9"/>
  <c r="F28" i="15"/>
  <c r="F32" i="15"/>
  <c r="F60" i="15" s="1"/>
  <c r="F32" i="67"/>
  <c r="F60" i="67" s="1"/>
  <c r="F52" i="9"/>
  <c r="F28" i="67"/>
  <c r="C28" i="67" s="1"/>
  <c r="F30" i="68"/>
  <c r="F53" i="9"/>
  <c r="D93" i="9"/>
  <c r="F48" i="9"/>
  <c r="O52" i="9" s="1"/>
  <c r="C24" i="12"/>
  <c r="C40" i="69"/>
  <c r="C21" i="69"/>
  <c r="D22" i="67"/>
  <c r="G8" i="1"/>
  <c r="G17" i="43"/>
  <c r="C16" i="43" s="1"/>
  <c r="G1" i="67"/>
  <c r="B6" i="1"/>
  <c r="E6" i="1" s="1"/>
  <c r="G1" i="69"/>
  <c r="K7" i="1"/>
  <c r="L27" i="6"/>
  <c r="G1" i="68"/>
  <c r="BA13" i="3"/>
  <c r="AZ13" i="3" s="1"/>
  <c r="AQ9" i="1"/>
  <c r="T11" i="1"/>
  <c r="AQ8" i="1"/>
  <c r="T9" i="1"/>
  <c r="O6" i="1"/>
  <c r="P6" i="1" s="1"/>
  <c r="O10" i="1"/>
  <c r="P10" i="1" s="1"/>
  <c r="AR11" i="1"/>
  <c r="G6" i="1"/>
  <c r="G7" i="1"/>
  <c r="G11" i="1"/>
  <c r="A4" i="52"/>
  <c r="B41" i="72" s="1"/>
  <c r="B34" i="72"/>
  <c r="D17" i="53"/>
  <c r="B36" i="72" s="1"/>
  <c r="D125" i="9"/>
  <c r="D11" i="52" s="1"/>
  <c r="D10" i="52"/>
  <c r="F22" i="43"/>
  <c r="C36" i="69"/>
  <c r="T8" i="1"/>
  <c r="P11" i="1"/>
  <c r="E15" i="71"/>
  <c r="E14" i="71" s="1"/>
  <c r="E13" i="71" s="1"/>
  <c r="E12" i="71" s="1"/>
  <c r="V16" i="71"/>
  <c r="E70" i="39"/>
  <c r="D12" i="52"/>
  <c r="D127" i="9"/>
  <c r="D13" i="52" s="1"/>
  <c r="F48" i="69"/>
  <c r="C48" i="69"/>
  <c r="C48" i="11"/>
  <c r="C30" i="11"/>
  <c r="AA13" i="21"/>
  <c r="S13" i="21"/>
  <c r="U45" i="21"/>
  <c r="AB45" i="21"/>
  <c r="C31" i="12"/>
  <c r="C28" i="15"/>
  <c r="AR13" i="1"/>
  <c r="T13" i="1"/>
  <c r="P12" i="1"/>
  <c r="P9" i="1"/>
  <c r="U33" i="34"/>
  <c r="AB33" i="34"/>
  <c r="U27" i="36"/>
  <c r="AB27" i="36"/>
  <c r="AB44" i="34"/>
  <c r="U44" i="34"/>
  <c r="S40" i="34"/>
  <c r="AA40" i="34"/>
  <c r="U34" i="33"/>
  <c r="AB34" i="33"/>
  <c r="S10" i="33"/>
  <c r="AA10" i="33"/>
  <c r="AC30" i="40"/>
  <c r="W30" i="40"/>
  <c r="H73" i="43"/>
  <c r="H75" i="43"/>
  <c r="H78" i="43"/>
  <c r="H72" i="43"/>
  <c r="AZ372" i="3"/>
  <c r="AZ337" i="3"/>
  <c r="AZ305" i="3"/>
  <c r="H62" i="43"/>
  <c r="H66" i="43"/>
  <c r="H64" i="43"/>
  <c r="D8" i="53"/>
  <c r="D120" i="9"/>
  <c r="AB25" i="39"/>
  <c r="U25" i="39"/>
  <c r="AC43" i="33"/>
  <c r="W43" i="33"/>
  <c r="AA36" i="37"/>
  <c r="S36" i="37"/>
  <c r="AB23" i="37"/>
  <c r="U23" i="37"/>
  <c r="S22" i="36"/>
  <c r="AA22" i="36"/>
  <c r="AB28" i="34"/>
  <c r="U28" i="34"/>
  <c r="U17" i="37"/>
  <c r="AB17" i="37"/>
  <c r="S25" i="21"/>
  <c r="AA25" i="21"/>
  <c r="AZ575" i="3"/>
  <c r="AZ581" i="3"/>
  <c r="AA17" i="21"/>
  <c r="S17" i="21"/>
  <c r="W14" i="40"/>
  <c r="AC14" i="40"/>
  <c r="AA27" i="37"/>
  <c r="S27" i="37"/>
  <c r="U13" i="40"/>
  <c r="AB13" i="40"/>
  <c r="AA33" i="40"/>
  <c r="S33" i="40"/>
  <c r="AB12" i="40"/>
  <c r="U12" i="40"/>
  <c r="AB14" i="39"/>
  <c r="U14" i="39"/>
  <c r="AC28" i="37"/>
  <c r="W28" i="37"/>
  <c r="W13" i="37"/>
  <c r="AC13" i="37"/>
  <c r="AB35" i="35"/>
  <c r="U35" i="35"/>
  <c r="AC35" i="35"/>
  <c r="W35" i="35"/>
  <c r="S25" i="35"/>
  <c r="AA25" i="35"/>
  <c r="S13" i="35"/>
  <c r="AA13" i="35"/>
  <c r="U45" i="34"/>
  <c r="AB45" i="34"/>
  <c r="AB29" i="34"/>
  <c r="U29" i="34"/>
  <c r="U29" i="21"/>
  <c r="AB29" i="21"/>
  <c r="AB27" i="21"/>
  <c r="U27" i="21"/>
  <c r="AA44" i="21"/>
  <c r="S44" i="21"/>
  <c r="AB28" i="21"/>
  <c r="U28" i="21"/>
  <c r="S14" i="21"/>
  <c r="AA14" i="21"/>
  <c r="AA23" i="34"/>
  <c r="S23" i="34"/>
  <c r="AA11" i="33"/>
  <c r="S11" i="33"/>
  <c r="AA41" i="33"/>
  <c r="S41" i="33"/>
  <c r="U23" i="34"/>
  <c r="AB23" i="34"/>
  <c r="AA27" i="34"/>
  <c r="S27" i="34"/>
  <c r="AB33" i="35"/>
  <c r="U33" i="35"/>
  <c r="W34" i="36"/>
  <c r="AC34" i="36"/>
  <c r="AB36" i="40"/>
  <c r="U36" i="40"/>
  <c r="AB32" i="33"/>
  <c r="U32" i="33"/>
  <c r="AA31" i="39"/>
  <c r="S31" i="39"/>
  <c r="D19" i="12"/>
  <c r="C19" i="12" s="1"/>
  <c r="D9" i="68"/>
  <c r="C9" i="68" s="1"/>
  <c r="AC27" i="21"/>
  <c r="W27" i="21"/>
  <c r="BL547" i="3"/>
  <c r="AZ547" i="3" s="1"/>
  <c r="AZ545" i="3"/>
  <c r="BL543" i="3"/>
  <c r="AZ543" i="3" s="1"/>
  <c r="AZ541" i="3"/>
  <c r="BL539" i="3"/>
  <c r="AZ539" i="3" s="1"/>
  <c r="AZ537" i="3"/>
  <c r="BL535" i="3"/>
  <c r="AZ535" i="3" s="1"/>
  <c r="AZ533" i="3"/>
  <c r="BL531" i="3"/>
  <c r="AZ531" i="3" s="1"/>
  <c r="AZ529" i="3"/>
  <c r="BL527" i="3"/>
  <c r="S19" i="33"/>
  <c r="AA19" i="33"/>
  <c r="AQ10" i="1"/>
  <c r="AR10" i="1"/>
  <c r="AB12" i="39"/>
  <c r="U12" i="39"/>
  <c r="W39" i="34"/>
  <c r="AC39" i="34"/>
  <c r="S35" i="33"/>
  <c r="AA35" i="33"/>
  <c r="S34" i="33"/>
  <c r="AA34" i="33"/>
  <c r="S27" i="40"/>
  <c r="AA27" i="40"/>
  <c r="U27" i="40"/>
  <c r="AB27" i="40"/>
  <c r="U20" i="35"/>
  <c r="AB20" i="35"/>
  <c r="W20" i="36"/>
  <c r="AC20" i="36"/>
  <c r="H52" i="43"/>
  <c r="H55" i="43"/>
  <c r="G28" i="6"/>
  <c r="W11" i="39"/>
  <c r="AC11" i="39"/>
  <c r="AC19" i="40"/>
  <c r="W19" i="40"/>
  <c r="AB37" i="39"/>
  <c r="U37" i="39"/>
  <c r="W15" i="37"/>
  <c r="AC15" i="37"/>
  <c r="U31" i="37"/>
  <c r="AB31" i="37"/>
  <c r="AA15" i="37"/>
  <c r="S15" i="37"/>
  <c r="AB32" i="40"/>
  <c r="U32" i="40"/>
  <c r="AC32" i="37"/>
  <c r="W32" i="37"/>
  <c r="AB24" i="35"/>
  <c r="U24" i="35"/>
  <c r="S10" i="35"/>
  <c r="AA10" i="35"/>
  <c r="U41" i="34"/>
  <c r="AB41" i="34"/>
  <c r="S26" i="36"/>
  <c r="AA26" i="36"/>
  <c r="AA42" i="33"/>
  <c r="S42" i="33"/>
  <c r="AC25" i="21"/>
  <c r="W25" i="21"/>
  <c r="S22" i="31"/>
  <c r="R22" i="31" s="1"/>
  <c r="AZ495" i="3"/>
  <c r="AZ513" i="3"/>
  <c r="AZ517" i="3"/>
  <c r="AZ567" i="3"/>
  <c r="AZ571" i="3"/>
  <c r="AZ579" i="3"/>
  <c r="AZ518" i="3"/>
  <c r="AZ522" i="3"/>
  <c r="AZ576" i="3"/>
  <c r="AB17" i="21"/>
  <c r="U17" i="21"/>
  <c r="AC28" i="21"/>
  <c r="U31" i="34"/>
  <c r="AC27" i="37"/>
  <c r="W27" i="37"/>
  <c r="AA14" i="40"/>
  <c r="S14" i="40"/>
  <c r="U33" i="40"/>
  <c r="AB33" i="40"/>
  <c r="AB30" i="40"/>
  <c r="U30" i="40"/>
  <c r="AA43" i="39"/>
  <c r="S43" i="39"/>
  <c r="U28" i="37"/>
  <c r="AB28" i="37"/>
  <c r="S13" i="37"/>
  <c r="AA13" i="37"/>
  <c r="W25" i="36"/>
  <c r="AC25" i="36"/>
  <c r="AB25" i="35"/>
  <c r="U25" i="35"/>
  <c r="AC47" i="34"/>
  <c r="W47" i="34"/>
  <c r="S31" i="34"/>
  <c r="AA31" i="34"/>
  <c r="AC31" i="34"/>
  <c r="W31" i="34"/>
  <c r="S29" i="34"/>
  <c r="AA29" i="34"/>
  <c r="AA45" i="21"/>
  <c r="S45" i="21"/>
  <c r="AC31" i="21"/>
  <c r="W31" i="21"/>
  <c r="AC13" i="21"/>
  <c r="W13" i="21"/>
  <c r="U14" i="36"/>
  <c r="AB14" i="36"/>
  <c r="AB10" i="36"/>
  <c r="U10" i="36"/>
  <c r="AA46" i="21"/>
  <c r="S46" i="21"/>
  <c r="U46" i="21"/>
  <c r="AB46" i="21"/>
  <c r="U44" i="21"/>
  <c r="AB44" i="21"/>
  <c r="U30" i="21"/>
  <c r="AB30" i="21"/>
  <c r="W14" i="21"/>
  <c r="AC14" i="21"/>
  <c r="W17" i="34"/>
  <c r="AC17" i="34"/>
  <c r="AB29" i="35"/>
  <c r="U29" i="35"/>
  <c r="AA32" i="33"/>
  <c r="S32" i="33"/>
  <c r="W28" i="34"/>
  <c r="AC28" i="34"/>
  <c r="AA28" i="34"/>
  <c r="S28" i="34"/>
  <c r="W34" i="37"/>
  <c r="AC34" i="37"/>
  <c r="AA33" i="36"/>
  <c r="S33" i="36"/>
  <c r="W11" i="40"/>
  <c r="AC11" i="40"/>
  <c r="U17" i="40"/>
  <c r="AB17" i="40"/>
  <c r="U37" i="40"/>
  <c r="AB37" i="40"/>
  <c r="AZ585" i="3"/>
  <c r="AA12" i="21"/>
  <c r="S12" i="21"/>
  <c r="BL577" i="3"/>
  <c r="AZ577" i="3" s="1"/>
  <c r="BL573" i="3"/>
  <c r="AZ573" i="3" s="1"/>
  <c r="AZ561" i="3"/>
  <c r="BL559" i="3"/>
  <c r="AZ559" i="3" s="1"/>
  <c r="BL557" i="3"/>
  <c r="AZ557" i="3" s="1"/>
  <c r="G557" i="3"/>
  <c r="J12" i="36"/>
  <c r="H12" i="36"/>
  <c r="J24" i="36"/>
  <c r="H24" i="36"/>
  <c r="J39" i="40"/>
  <c r="H39" i="40"/>
  <c r="BA551" i="3"/>
  <c r="AC34" i="21"/>
  <c r="S35" i="21"/>
  <c r="AA45" i="39"/>
  <c r="U11" i="40"/>
  <c r="AC11" i="43"/>
  <c r="AF11" i="43"/>
  <c r="AF13" i="43" s="1"/>
  <c r="S8" i="21"/>
  <c r="AA36" i="21"/>
  <c r="S39" i="21"/>
  <c r="AB39" i="21"/>
  <c r="W36" i="21"/>
  <c r="U9" i="33"/>
  <c r="S15" i="33"/>
  <c r="S10" i="34"/>
  <c r="W24" i="35"/>
  <c r="S16" i="36"/>
  <c r="U31" i="39"/>
  <c r="F12" i="33"/>
  <c r="N104" i="46"/>
  <c r="AC14" i="35"/>
  <c r="AC35" i="21"/>
  <c r="U43" i="21"/>
  <c r="BN5" i="3"/>
  <c r="G29" i="6" s="1"/>
  <c r="BM5" i="3"/>
  <c r="F29" i="6" s="1"/>
  <c r="F12" i="39"/>
  <c r="F9" i="37"/>
  <c r="H9" i="37"/>
  <c r="U26" i="21"/>
  <c r="U36" i="39"/>
  <c r="W36" i="39"/>
  <c r="AC45" i="39"/>
  <c r="F14" i="39"/>
  <c r="F13" i="34"/>
  <c r="J13" i="34"/>
  <c r="H46" i="33"/>
  <c r="F46" i="33"/>
  <c r="F44" i="33"/>
  <c r="J14" i="33"/>
  <c r="F14" i="33"/>
  <c r="H26" i="33"/>
  <c r="AC38" i="34"/>
  <c r="AB42" i="34"/>
  <c r="U8" i="33"/>
  <c r="AA39" i="37"/>
  <c r="F24" i="36"/>
  <c r="AA12" i="34"/>
  <c r="AB12" i="33"/>
  <c r="S34" i="21"/>
  <c r="W31" i="40"/>
  <c r="H39" i="37"/>
  <c r="W33" i="33"/>
  <c r="U35" i="33"/>
  <c r="S9" i="33"/>
  <c r="F26" i="33"/>
  <c r="S34" i="34"/>
  <c r="W34" i="35"/>
  <c r="H12" i="21"/>
  <c r="J12" i="21"/>
  <c r="H23" i="35"/>
  <c r="J23" i="35"/>
  <c r="F38" i="40"/>
  <c r="J38" i="40"/>
  <c r="H38" i="40"/>
  <c r="BL550" i="3"/>
  <c r="AZ550" i="3" s="1"/>
  <c r="AZ398" i="3"/>
  <c r="AZ405" i="3"/>
  <c r="AZ407" i="3"/>
  <c r="AZ410" i="3"/>
  <c r="AZ415" i="3"/>
  <c r="AZ420" i="3"/>
  <c r="AZ426" i="3"/>
  <c r="AZ431" i="3"/>
  <c r="AZ436" i="3"/>
  <c r="AZ448" i="3"/>
  <c r="AZ452" i="3"/>
  <c r="AZ461" i="3"/>
  <c r="AZ463" i="3"/>
  <c r="AZ468" i="3"/>
  <c r="AZ470" i="3"/>
  <c r="AZ479" i="3"/>
  <c r="AZ485" i="3"/>
  <c r="AZ385" i="3"/>
  <c r="AZ210" i="3"/>
  <c r="AZ225" i="3"/>
  <c r="AZ239" i="3"/>
  <c r="AZ255" i="3"/>
  <c r="AZ262" i="3"/>
  <c r="AZ276" i="3"/>
  <c r="AZ278" i="3"/>
  <c r="AZ300" i="3"/>
  <c r="AZ302" i="3"/>
  <c r="AZ113" i="3"/>
  <c r="AZ126" i="3"/>
  <c r="AZ129" i="3"/>
  <c r="AZ141" i="3"/>
  <c r="AZ161" i="3"/>
  <c r="AZ193" i="3"/>
  <c r="AZ205" i="3"/>
  <c r="AZ23" i="3"/>
  <c r="AZ38" i="3"/>
  <c r="AZ48" i="3"/>
  <c r="AZ60" i="3"/>
  <c r="AZ64" i="3"/>
  <c r="AZ78" i="3"/>
  <c r="AZ91" i="3"/>
  <c r="AZ112" i="3"/>
  <c r="F3" i="35"/>
  <c r="M100" i="43"/>
  <c r="I100" i="43"/>
  <c r="E100" i="43"/>
  <c r="D100" i="43"/>
  <c r="C40" i="68"/>
  <c r="C21" i="68"/>
  <c r="E26" i="71"/>
  <c r="E27" i="71" s="1"/>
  <c r="E28" i="71" s="1"/>
  <c r="U28" i="71" s="1"/>
  <c r="AA25" i="71"/>
  <c r="X20" i="71"/>
  <c r="Y20" i="71"/>
  <c r="Z20" i="71" s="1"/>
  <c r="Y5" i="71"/>
  <c r="Z5" i="71" s="1"/>
  <c r="Y6" i="71"/>
  <c r="Z6" i="71" s="1"/>
  <c r="AA5" i="71"/>
  <c r="B63" i="71"/>
  <c r="AE10" i="43"/>
  <c r="Z12" i="43"/>
  <c r="Z10" i="43"/>
  <c r="AD12" i="43"/>
  <c r="AD10" i="43"/>
  <c r="AH12" i="43"/>
  <c r="AH10" i="43"/>
  <c r="AA19" i="71"/>
  <c r="AA20" i="71"/>
  <c r="X18" i="71"/>
  <c r="B20" i="71"/>
  <c r="AA17" i="71"/>
  <c r="X17" i="71"/>
  <c r="Y14" i="71"/>
  <c r="Z14" i="71" s="1"/>
  <c r="X10" i="71"/>
  <c r="Y10" i="71"/>
  <c r="Z10" i="71" s="1"/>
  <c r="AB10" i="71"/>
  <c r="X5" i="71"/>
  <c r="AB5" i="71"/>
  <c r="AB6" i="71"/>
  <c r="AC12" i="43"/>
  <c r="AC10" i="43"/>
  <c r="AG12" i="43"/>
  <c r="AG10" i="43"/>
  <c r="Y18" i="71"/>
  <c r="Z18" i="71" s="1"/>
  <c r="Y19" i="71"/>
  <c r="Z19" i="71" s="1"/>
  <c r="C20" i="71"/>
  <c r="AB19" i="71"/>
  <c r="AB20" i="71"/>
  <c r="AB17" i="71"/>
  <c r="X9" i="71"/>
  <c r="Y13" i="71"/>
  <c r="Z13" i="71" s="1"/>
  <c r="AA6" i="71"/>
  <c r="AB14" i="71"/>
  <c r="Y17" i="71"/>
  <c r="Z17" i="71" s="1"/>
  <c r="AA18" i="71"/>
  <c r="X14" i="71"/>
  <c r="AA14" i="71"/>
  <c r="X11" i="71"/>
  <c r="AA11" i="71"/>
  <c r="AA8" i="71"/>
  <c r="AA9" i="71"/>
  <c r="AA10" i="71"/>
  <c r="X6" i="71"/>
  <c r="X7" i="71"/>
  <c r="AB8" i="71"/>
  <c r="Y7" i="71"/>
  <c r="Z7" i="71" s="1"/>
  <c r="Y8" i="71"/>
  <c r="Z8" i="71" s="1"/>
  <c r="AB11" i="71"/>
  <c r="X13" i="71"/>
  <c r="AA13" i="71"/>
  <c r="AB13" i="71"/>
  <c r="AA7" i="71"/>
  <c r="X8" i="71"/>
  <c r="AB7" i="71"/>
  <c r="AB9" i="71"/>
  <c r="Y9" i="71"/>
  <c r="Z9" i="71" s="1"/>
  <c r="C5" i="43"/>
  <c r="T11" i="43" s="1"/>
  <c r="V11" i="43" s="1"/>
  <c r="D5" i="43"/>
  <c r="T14" i="43"/>
  <c r="V14" i="43" s="1"/>
  <c r="F70" i="39"/>
  <c r="G68" i="39"/>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2" i="71"/>
  <c r="Z12" i="71" s="1"/>
  <c r="Y11" i="71"/>
  <c r="AA12" i="71"/>
  <c r="AB3" i="71"/>
  <c r="C35" i="43"/>
  <c r="E35" i="43" s="1"/>
  <c r="C36" i="43"/>
  <c r="E36" i="43" s="1"/>
  <c r="C39" i="43"/>
  <c r="C37" i="43"/>
  <c r="E37" i="43" s="1"/>
  <c r="X12" i="71"/>
  <c r="AB12" i="71"/>
  <c r="Z11" i="71"/>
  <c r="Y3" i="71"/>
  <c r="Z3" i="71" s="1"/>
  <c r="F12" i="71"/>
  <c r="F11" i="71" s="1"/>
  <c r="F10" i="71" s="1"/>
  <c r="F9" i="71" s="1"/>
  <c r="F8" i="71" s="1"/>
  <c r="F7" i="71" s="1"/>
  <c r="F6" i="71" s="1"/>
  <c r="F5" i="71" s="1"/>
  <c r="AF3" i="71"/>
  <c r="P22" i="43" s="1"/>
  <c r="C34" i="43"/>
  <c r="C33" i="43"/>
  <c r="C38" i="43"/>
  <c r="C36" i="68"/>
  <c r="B10" i="70"/>
  <c r="Q71" i="15"/>
  <c r="J53" i="15"/>
  <c r="L56" i="15" s="1"/>
  <c r="J57" i="15"/>
  <c r="J55" i="15" s="1"/>
  <c r="J58" i="15" s="1"/>
  <c r="Q50" i="15" s="1"/>
  <c r="I54" i="15"/>
  <c r="K1" i="73"/>
  <c r="B20" i="31"/>
  <c r="B21" i="31" s="1"/>
  <c r="I1" i="73"/>
  <c r="B39" i="1" s="1"/>
  <c r="B12" i="70"/>
  <c r="F51" i="15"/>
  <c r="B11" i="70"/>
  <c r="L59" i="15"/>
  <c r="N59" i="15"/>
  <c r="L58" i="15"/>
  <c r="M59" i="15"/>
  <c r="B8" i="70"/>
  <c r="F66" i="15"/>
  <c r="F64" i="15"/>
  <c r="C27" i="15"/>
  <c r="F65" i="15"/>
  <c r="B9" i="70"/>
  <c r="B13" i="70"/>
  <c r="F68" i="15"/>
  <c r="C76" i="67"/>
  <c r="F36" i="67"/>
  <c r="F6" i="67"/>
  <c r="F42" i="67"/>
  <c r="C16" i="15"/>
  <c r="M26" i="67"/>
  <c r="M27" i="67"/>
  <c r="M22" i="67"/>
  <c r="F8" i="67"/>
  <c r="F26" i="67"/>
  <c r="J15" i="67"/>
  <c r="M6" i="67"/>
  <c r="F13" i="67"/>
  <c r="F38" i="67"/>
  <c r="F43" i="67"/>
  <c r="M9" i="67"/>
  <c r="F40" i="67"/>
  <c r="M29" i="67"/>
  <c r="L47" i="67"/>
  <c r="F9" i="67"/>
  <c r="F35" i="67"/>
  <c r="M24" i="67"/>
  <c r="M29" i="15"/>
  <c r="F43" i="15"/>
  <c r="M23" i="67"/>
  <c r="G1" i="73"/>
  <c r="F7" i="15"/>
  <c r="F16" i="67"/>
  <c r="M28" i="67"/>
  <c r="M21" i="67"/>
  <c r="F37" i="67"/>
  <c r="M8" i="67"/>
  <c r="F41" i="67"/>
  <c r="F7" i="67"/>
  <c r="L48" i="67"/>
  <c r="C101" i="43" l="1"/>
  <c r="H101" i="43"/>
  <c r="Z7" i="43"/>
  <c r="I101" i="43"/>
  <c r="I102" i="43" s="1"/>
  <c r="H22" i="43"/>
  <c r="AJ11" i="43"/>
  <c r="AJ13" i="43" s="1"/>
  <c r="AB11" i="43"/>
  <c r="AB13" i="43" s="1"/>
  <c r="AG11" i="43"/>
  <c r="Y11" i="43"/>
  <c r="Y13" i="43" s="1"/>
  <c r="N101" i="43"/>
  <c r="N105" i="43" s="1"/>
  <c r="E101" i="43"/>
  <c r="E107" i="43" s="1"/>
  <c r="F101" i="43"/>
  <c r="F102" i="43" s="1"/>
  <c r="G101" i="43"/>
  <c r="G104" i="43" s="1"/>
  <c r="J101" i="43"/>
  <c r="L101" i="43"/>
  <c r="L105" i="43" s="1"/>
  <c r="G22" i="43"/>
  <c r="AH11" i="43"/>
  <c r="AH13" i="43" s="1"/>
  <c r="AD11" i="43"/>
  <c r="Z11" i="43"/>
  <c r="Z13" i="43" s="1"/>
  <c r="AI11" i="43"/>
  <c r="AI13" i="43" s="1"/>
  <c r="AE11" i="43"/>
  <c r="AE13" i="43" s="1"/>
  <c r="AA11" i="43"/>
  <c r="AA13" i="43" s="1"/>
  <c r="D101" i="43"/>
  <c r="D109" i="43" s="1"/>
  <c r="K101" i="43"/>
  <c r="K102" i="43" s="1"/>
  <c r="J22" i="43"/>
  <c r="M101" i="43"/>
  <c r="M104" i="43" s="1"/>
  <c r="E22" i="43"/>
  <c r="D22" i="43" s="1"/>
  <c r="E11" i="6"/>
  <c r="E56" i="40" s="1"/>
  <c r="I109" i="43"/>
  <c r="B116" i="43"/>
  <c r="C116" i="43" s="1"/>
  <c r="I116" i="43"/>
  <c r="J116" i="43" s="1"/>
  <c r="K116" i="43" s="1"/>
  <c r="L116" i="43" s="1"/>
  <c r="M116" i="43" s="1"/>
  <c r="N102" i="43"/>
  <c r="E12" i="6"/>
  <c r="E62" i="39" s="1"/>
  <c r="I117" i="43"/>
  <c r="J117" i="43" s="1"/>
  <c r="K117" i="43" s="1"/>
  <c r="L117" i="43" s="1"/>
  <c r="M117" i="43" s="1"/>
  <c r="D116" i="43"/>
  <c r="E116" i="43" s="1"/>
  <c r="F116" i="43" s="1"/>
  <c r="G116" i="43" s="1"/>
  <c r="H116" i="43" s="1"/>
  <c r="N104" i="43"/>
  <c r="I106" i="43"/>
  <c r="E10" i="6"/>
  <c r="E15" i="6"/>
  <c r="E61" i="39"/>
  <c r="E14" i="6"/>
  <c r="E59" i="40" s="1"/>
  <c r="E13" i="6"/>
  <c r="B23" i="71"/>
  <c r="B22" i="71" s="1"/>
  <c r="S24" i="71"/>
  <c r="U29" i="39"/>
  <c r="AB29" i="39"/>
  <c r="C78" i="71"/>
  <c r="D78" i="71" s="1"/>
  <c r="D79" i="71"/>
  <c r="C62" i="71"/>
  <c r="D63" i="71"/>
  <c r="O63" i="71"/>
  <c r="Q62" i="71"/>
  <c r="Q61" i="71"/>
  <c r="C31" i="71"/>
  <c r="D30" i="71"/>
  <c r="T36" i="71"/>
  <c r="D36" i="71"/>
  <c r="D60" i="71"/>
  <c r="T60" i="71"/>
  <c r="AA40" i="40"/>
  <c r="S40" i="40"/>
  <c r="S23" i="36"/>
  <c r="AA23" i="36"/>
  <c r="AA9" i="36"/>
  <c r="S9" i="36"/>
  <c r="S34" i="36"/>
  <c r="AA34" i="36"/>
  <c r="W28" i="33"/>
  <c r="AC28" i="33"/>
  <c r="AC32" i="36"/>
  <c r="W32" i="36"/>
  <c r="AA11" i="36"/>
  <c r="S11" i="36"/>
  <c r="E8" i="6"/>
  <c r="AZ532" i="3"/>
  <c r="H16" i="1"/>
  <c r="AA29" i="39"/>
  <c r="S29" i="39"/>
  <c r="AZ96" i="3"/>
  <c r="D71" i="71"/>
  <c r="C70" i="71"/>
  <c r="D70" i="71" s="1"/>
  <c r="C28" i="71"/>
  <c r="D27" i="71"/>
  <c r="AZ477" i="3"/>
  <c r="AZ459" i="3"/>
  <c r="AZ442" i="3"/>
  <c r="AZ403" i="3"/>
  <c r="AB23" i="36"/>
  <c r="U23" i="36"/>
  <c r="U9" i="36"/>
  <c r="AB9" i="36"/>
  <c r="S28" i="33"/>
  <c r="AA28" i="33"/>
  <c r="AB32" i="36"/>
  <c r="U32" i="36"/>
  <c r="U11" i="36"/>
  <c r="AB11" i="36"/>
  <c r="W13" i="36"/>
  <c r="AC13" i="36"/>
  <c r="AA30" i="33"/>
  <c r="S30" i="33"/>
  <c r="W25" i="39"/>
  <c r="AA25" i="39"/>
  <c r="S25" i="39"/>
  <c r="AA21" i="39"/>
  <c r="S21" i="39"/>
  <c r="AB21" i="39"/>
  <c r="U21" i="39"/>
  <c r="AB11" i="39"/>
  <c r="U11" i="39"/>
  <c r="AA11" i="39"/>
  <c r="S11" i="39"/>
  <c r="F48" i="68"/>
  <c r="C48" i="68"/>
  <c r="C30" i="68"/>
  <c r="F60" i="79"/>
  <c r="F11" i="79"/>
  <c r="M11" i="79"/>
  <c r="AG13" i="43"/>
  <c r="AC13" i="43"/>
  <c r="E29" i="6"/>
  <c r="K15" i="1" s="1"/>
  <c r="B117" i="43"/>
  <c r="C117" i="43" s="1"/>
  <c r="B118" i="43"/>
  <c r="C118" i="43" s="1"/>
  <c r="G118" i="43"/>
  <c r="H118" i="43" s="1"/>
  <c r="I103" i="43"/>
  <c r="M7" i="1"/>
  <c r="C27" i="67"/>
  <c r="F70" i="67"/>
  <c r="J53" i="67"/>
  <c r="F1" i="67" s="1"/>
  <c r="L56" i="67"/>
  <c r="J57" i="67"/>
  <c r="J55" i="67" s="1"/>
  <c r="J58" i="67" s="1"/>
  <c r="Q50" i="67" s="1"/>
  <c r="I54" i="67"/>
  <c r="F65" i="67"/>
  <c r="F51" i="67"/>
  <c r="C34" i="67"/>
  <c r="F63" i="67"/>
  <c r="C62" i="67" s="1"/>
  <c r="F64" i="67"/>
  <c r="F68" i="67"/>
  <c r="J20" i="67"/>
  <c r="F69" i="67"/>
  <c r="N59" i="67"/>
  <c r="L58" i="67"/>
  <c r="Q73" i="67" s="1"/>
  <c r="L59" i="67"/>
  <c r="Q61" i="67" s="1"/>
  <c r="M59" i="67"/>
  <c r="Q71" i="67"/>
  <c r="F66" i="67"/>
  <c r="C6" i="67"/>
  <c r="C32" i="67" s="1"/>
  <c r="F50" i="67"/>
  <c r="M7" i="67"/>
  <c r="J6" i="67" s="1"/>
  <c r="J18" i="67" s="1"/>
  <c r="F71" i="15"/>
  <c r="F71" i="67"/>
  <c r="M7" i="15"/>
  <c r="J6" i="15" s="1"/>
  <c r="J18" i="15" s="1"/>
  <c r="F50" i="15"/>
  <c r="C49" i="15" s="1"/>
  <c r="C6" i="15"/>
  <c r="C32" i="15" s="1"/>
  <c r="Q16" i="1"/>
  <c r="K103" i="43"/>
  <c r="F104" i="43"/>
  <c r="AD13" i="43"/>
  <c r="K105" i="43"/>
  <c r="E105" i="43"/>
  <c r="E109" i="43"/>
  <c r="G16" i="1"/>
  <c r="F10" i="39" s="1"/>
  <c r="S10" i="39" s="1"/>
  <c r="G36" i="43"/>
  <c r="I36" i="43" s="1"/>
  <c r="F7" i="36"/>
  <c r="J7" i="37"/>
  <c r="AC7" i="37" s="1"/>
  <c r="V42" i="37" s="1"/>
  <c r="I42" i="37" s="1"/>
  <c r="H7" i="36"/>
  <c r="H7" i="34"/>
  <c r="U7" i="34" s="1"/>
  <c r="F7" i="34"/>
  <c r="M107" i="43"/>
  <c r="M109" i="43"/>
  <c r="D102" i="43"/>
  <c r="K104" i="43"/>
  <c r="K106" i="43"/>
  <c r="K107" i="43"/>
  <c r="K109" i="43"/>
  <c r="E103" i="43"/>
  <c r="F106" i="43"/>
  <c r="F107" i="43"/>
  <c r="F103" i="43"/>
  <c r="F109" i="43"/>
  <c r="I107" i="43"/>
  <c r="I104" i="43"/>
  <c r="I105" i="43"/>
  <c r="N106" i="43"/>
  <c r="N107" i="43"/>
  <c r="N103" i="43"/>
  <c r="N109" i="43"/>
  <c r="M102" i="43"/>
  <c r="M106" i="43"/>
  <c r="B115" i="43"/>
  <c r="D118" i="43"/>
  <c r="E118" i="43" s="1"/>
  <c r="F118" i="43" s="1"/>
  <c r="D117" i="43"/>
  <c r="E117" i="43" s="1"/>
  <c r="F117" i="43" s="1"/>
  <c r="G117" i="43" s="1"/>
  <c r="H117" i="43" s="1"/>
  <c r="I118" i="43"/>
  <c r="J118" i="43" s="1"/>
  <c r="K118" i="43" s="1"/>
  <c r="L118" i="43" s="1"/>
  <c r="M118" i="43" s="1"/>
  <c r="D115" i="43"/>
  <c r="E115" i="43" s="1"/>
  <c r="F115" i="43" s="1"/>
  <c r="G115" i="43" s="1"/>
  <c r="H115" i="43" s="1"/>
  <c r="T13" i="43"/>
  <c r="V13" i="43" s="1"/>
  <c r="T10" i="43"/>
  <c r="V10" i="43" s="1"/>
  <c r="T9" i="43"/>
  <c r="V9" i="43" s="1"/>
  <c r="T12" i="43"/>
  <c r="V12" i="43" s="1"/>
  <c r="C19" i="71"/>
  <c r="T20" i="71"/>
  <c r="D20" i="71"/>
  <c r="U20" i="71" s="1"/>
  <c r="B19" i="71"/>
  <c r="B18" i="71" s="1"/>
  <c r="B17" i="71" s="1"/>
  <c r="B16" i="71" s="1"/>
  <c r="S20" i="71"/>
  <c r="AB38" i="40"/>
  <c r="U38" i="40"/>
  <c r="S38" i="40"/>
  <c r="AA38" i="40"/>
  <c r="U23" i="35"/>
  <c r="AB23" i="35"/>
  <c r="U12" i="21"/>
  <c r="AB12" i="21"/>
  <c r="S24" i="36"/>
  <c r="AA24" i="36"/>
  <c r="S14" i="33"/>
  <c r="AA14" i="33"/>
  <c r="S44" i="33"/>
  <c r="AA44" i="33"/>
  <c r="U46" i="33"/>
  <c r="AB46" i="33"/>
  <c r="S13" i="34"/>
  <c r="AA13" i="34"/>
  <c r="U9" i="37"/>
  <c r="AB9" i="37"/>
  <c r="AA12" i="39"/>
  <c r="S12" i="39"/>
  <c r="G106" i="43"/>
  <c r="G103" i="43"/>
  <c r="J107" i="43"/>
  <c r="J102" i="43"/>
  <c r="J104" i="43"/>
  <c r="J103" i="43"/>
  <c r="J109" i="43"/>
  <c r="J105" i="43"/>
  <c r="J106" i="43"/>
  <c r="S12" i="33"/>
  <c r="AA12" i="33"/>
  <c r="L102" i="43"/>
  <c r="L106" i="43"/>
  <c r="U39" i="40"/>
  <c r="AB39" i="40"/>
  <c r="AB24" i="36"/>
  <c r="U24" i="36"/>
  <c r="U12" i="36"/>
  <c r="AB12" i="36"/>
  <c r="G5" i="3"/>
  <c r="B3" i="3" s="1"/>
  <c r="E557" i="3" s="1"/>
  <c r="G30" i="6"/>
  <c r="G31" i="6" s="1"/>
  <c r="E64" i="39"/>
  <c r="AZ527" i="3"/>
  <c r="BL5" i="3"/>
  <c r="F30" i="6"/>
  <c r="B62" i="71"/>
  <c r="N63" i="71"/>
  <c r="W38" i="40"/>
  <c r="AC38" i="40"/>
  <c r="AC23" i="35"/>
  <c r="W23" i="35"/>
  <c r="W12" i="21"/>
  <c r="AC12" i="21"/>
  <c r="AA26" i="33"/>
  <c r="S26" i="33"/>
  <c r="U39" i="37"/>
  <c r="AB39" i="37"/>
  <c r="U26" i="33"/>
  <c r="AB26" i="33"/>
  <c r="W14" i="33"/>
  <c r="AC14" i="33"/>
  <c r="AA46" i="33"/>
  <c r="S46" i="33"/>
  <c r="AC13" i="34"/>
  <c r="W13" i="34"/>
  <c r="AA14" i="39"/>
  <c r="S14" i="39"/>
  <c r="AA9" i="37"/>
  <c r="S9" i="37"/>
  <c r="C107" i="43"/>
  <c r="C103" i="43"/>
  <c r="C109" i="43"/>
  <c r="C106" i="43"/>
  <c r="C104" i="43"/>
  <c r="C105" i="43"/>
  <c r="C102" i="43"/>
  <c r="H107" i="43"/>
  <c r="H106" i="43"/>
  <c r="H105" i="43"/>
  <c r="H103" i="43"/>
  <c r="H104" i="43"/>
  <c r="H102" i="43"/>
  <c r="H109" i="43"/>
  <c r="BA5" i="3"/>
  <c r="E27" i="6" s="1"/>
  <c r="AZ551" i="3"/>
  <c r="AC39" i="40"/>
  <c r="W39" i="40"/>
  <c r="AC24" i="36"/>
  <c r="W24" i="36"/>
  <c r="AC12" i="36"/>
  <c r="W12" i="36"/>
  <c r="D121" i="9"/>
  <c r="D7" i="52" s="1"/>
  <c r="D6" i="52"/>
  <c r="E28" i="6"/>
  <c r="AZ5" i="3"/>
  <c r="E11" i="71"/>
  <c r="E10" i="71" s="1"/>
  <c r="E9" i="71" s="1"/>
  <c r="E8" i="71" s="1"/>
  <c r="V12" i="71"/>
  <c r="T8" i="43"/>
  <c r="V8" i="43" s="1"/>
  <c r="T16" i="43"/>
  <c r="V16" i="43" s="1"/>
  <c r="T15" i="43"/>
  <c r="V15" i="43" s="1"/>
  <c r="F59" i="67"/>
  <c r="G35" i="43"/>
  <c r="I35" i="43" s="1"/>
  <c r="G70" i="39"/>
  <c r="H68" i="39"/>
  <c r="H7" i="37"/>
  <c r="AB7" i="37" s="1"/>
  <c r="T42" i="37" s="1"/>
  <c r="G42" i="37" s="1"/>
  <c r="B40" i="1"/>
  <c r="F24" i="79" s="1"/>
  <c r="H7" i="33"/>
  <c r="J7" i="33"/>
  <c r="D65" i="40"/>
  <c r="E63" i="40"/>
  <c r="F48" i="35"/>
  <c r="S7" i="36"/>
  <c r="AA7" i="36"/>
  <c r="R36" i="36" s="1"/>
  <c r="W7" i="37"/>
  <c r="U7" i="37"/>
  <c r="AB7" i="36"/>
  <c r="T36" i="36" s="1"/>
  <c r="G36" i="36" s="1"/>
  <c r="U7" i="36"/>
  <c r="AB7" i="34"/>
  <c r="T49" i="34" s="1"/>
  <c r="G49" i="34" s="1"/>
  <c r="AA7" i="34"/>
  <c r="R49" i="34" s="1"/>
  <c r="S7" i="34"/>
  <c r="F7" i="33"/>
  <c r="E58" i="21"/>
  <c r="AC7" i="36"/>
  <c r="V36" i="36" s="1"/>
  <c r="I36" i="36" s="1"/>
  <c r="W7" i="36"/>
  <c r="F7" i="37"/>
  <c r="W7" i="34"/>
  <c r="AC7" i="34"/>
  <c r="V49" i="34" s="1"/>
  <c r="I49" i="34" s="1"/>
  <c r="G37" i="43"/>
  <c r="I37" i="43" s="1"/>
  <c r="M17" i="67"/>
  <c r="M17" i="15"/>
  <c r="F59" i="15"/>
  <c r="P24" i="43"/>
  <c r="B66" i="40" s="1"/>
  <c r="P21" i="43"/>
  <c r="E39" i="43"/>
  <c r="G39" i="43"/>
  <c r="I39" i="43" s="1"/>
  <c r="P25" i="43"/>
  <c r="P23" i="43"/>
  <c r="B71" i="39" s="1"/>
  <c r="E38" i="43"/>
  <c r="G38" i="43"/>
  <c r="I38" i="43" s="1"/>
  <c r="G34" i="43"/>
  <c r="I34" i="43" s="1"/>
  <c r="E34" i="43"/>
  <c r="G33" i="43"/>
  <c r="I33" i="43" s="1"/>
  <c r="E33" i="43"/>
  <c r="M28" i="43"/>
  <c r="N28" i="43"/>
  <c r="O28" i="43"/>
  <c r="P28" i="43"/>
  <c r="M11" i="67"/>
  <c r="J10" i="67" s="1"/>
  <c r="F11" i="15"/>
  <c r="M11" i="15"/>
  <c r="F11" i="67"/>
  <c r="F1" i="15"/>
  <c r="Q52" i="15"/>
  <c r="Q60" i="15"/>
  <c r="Q73" i="15"/>
  <c r="Q74" i="15"/>
  <c r="Q61" i="15"/>
  <c r="M8" i="79"/>
  <c r="F16" i="79"/>
  <c r="F40" i="79"/>
  <c r="M23" i="79"/>
  <c r="M24" i="79"/>
  <c r="C76" i="79"/>
  <c r="F8" i="79"/>
  <c r="F43" i="79"/>
  <c r="M22" i="79"/>
  <c r="M6" i="79"/>
  <c r="M29" i="79"/>
  <c r="C14" i="67"/>
  <c r="F36" i="79"/>
  <c r="C16" i="67"/>
  <c r="F9" i="79"/>
  <c r="L47" i="79"/>
  <c r="M27" i="79"/>
  <c r="J15" i="79"/>
  <c r="L48" i="79"/>
  <c r="F42" i="79"/>
  <c r="C17" i="67"/>
  <c r="M28" i="79"/>
  <c r="F37" i="79"/>
  <c r="F13" i="79"/>
  <c r="F26" i="79"/>
  <c r="F6" i="79"/>
  <c r="F38" i="79"/>
  <c r="M9" i="79"/>
  <c r="F7" i="79"/>
  <c r="M26" i="79"/>
  <c r="AE6" i="1"/>
  <c r="L107" i="43" l="1"/>
  <c r="L104" i="43"/>
  <c r="G105" i="43"/>
  <c r="G107" i="43"/>
  <c r="E102" i="43"/>
  <c r="E106" i="43"/>
  <c r="D104" i="43"/>
  <c r="D103" i="43"/>
  <c r="E104" i="43"/>
  <c r="F105" i="43"/>
  <c r="L103" i="43"/>
  <c r="L109" i="43"/>
  <c r="G102" i="43"/>
  <c r="G109" i="43"/>
  <c r="D106" i="43"/>
  <c r="D105" i="43"/>
  <c r="D107" i="43"/>
  <c r="M103" i="43"/>
  <c r="M105" i="43"/>
  <c r="S5" i="43"/>
  <c r="T5" i="43" s="1"/>
  <c r="V5" i="43" s="1"/>
  <c r="S3" i="43"/>
  <c r="T3" i="43" s="1"/>
  <c r="V3" i="43" s="1"/>
  <c r="S4" i="43"/>
  <c r="T4" i="43" s="1"/>
  <c r="V4" i="43" s="1"/>
  <c r="C23" i="43"/>
  <c r="C21" i="43" s="1"/>
  <c r="C29" i="43" s="1"/>
  <c r="E29" i="43" s="1"/>
  <c r="S6" i="43"/>
  <c r="T6" i="43" s="1"/>
  <c r="V6" i="43" s="1"/>
  <c r="S7" i="43"/>
  <c r="T7" i="43" s="1"/>
  <c r="V7" i="43" s="1"/>
  <c r="S2" i="43"/>
  <c r="T2" i="43" s="1"/>
  <c r="V2" i="43" s="1"/>
  <c r="E57" i="40"/>
  <c r="C26" i="43"/>
  <c r="E16" i="6"/>
  <c r="E65" i="39"/>
  <c r="E60" i="40"/>
  <c r="E58" i="40"/>
  <c r="E63" i="39"/>
  <c r="I54" i="79"/>
  <c r="J57" i="79"/>
  <c r="J55" i="79" s="1"/>
  <c r="J58" i="79" s="1"/>
  <c r="Q50" i="79" s="1"/>
  <c r="L60" i="79"/>
  <c r="J59" i="79"/>
  <c r="L57" i="79"/>
  <c r="J60" i="79"/>
  <c r="Q48" i="79" s="1"/>
  <c r="L56" i="79"/>
  <c r="J53" i="79"/>
  <c r="F71" i="79"/>
  <c r="M7" i="79"/>
  <c r="J6" i="79" s="1"/>
  <c r="J18" i="79" s="1"/>
  <c r="F50" i="79"/>
  <c r="F64" i="79"/>
  <c r="Q71" i="79"/>
  <c r="F65" i="79"/>
  <c r="L58" i="79"/>
  <c r="M59" i="79"/>
  <c r="N59" i="79"/>
  <c r="L59" i="79"/>
  <c r="F68" i="79"/>
  <c r="F66" i="79"/>
  <c r="C6" i="79"/>
  <c r="C10" i="79" s="1"/>
  <c r="C5" i="79" s="1"/>
  <c r="C27" i="79"/>
  <c r="F51" i="79"/>
  <c r="C49" i="79" s="1"/>
  <c r="J10" i="79"/>
  <c r="J5" i="79" s="1"/>
  <c r="J26" i="79" s="1"/>
  <c r="T28" i="71"/>
  <c r="D28" i="71"/>
  <c r="D62" i="71"/>
  <c r="O61" i="71"/>
  <c r="O62" i="71"/>
  <c r="E56" i="39"/>
  <c r="F27" i="6"/>
  <c r="F31" i="6" s="1"/>
  <c r="E51" i="40"/>
  <c r="C32" i="71"/>
  <c r="D31" i="71"/>
  <c r="C18" i="67"/>
  <c r="C15" i="67"/>
  <c r="O7" i="1"/>
  <c r="Q52" i="67"/>
  <c r="AA10" i="39"/>
  <c r="H10" i="39"/>
  <c r="AB10" i="39" s="1"/>
  <c r="J10" i="40"/>
  <c r="AC10" i="40" s="1"/>
  <c r="C24" i="79"/>
  <c r="C53" i="79"/>
  <c r="J10" i="15"/>
  <c r="J5" i="15" s="1"/>
  <c r="J26" i="15" s="1"/>
  <c r="Q74" i="67"/>
  <c r="J5" i="67"/>
  <c r="J26" i="67" s="1"/>
  <c r="J29" i="67" s="1"/>
  <c r="Q60" i="67"/>
  <c r="P7" i="1"/>
  <c r="C49" i="67"/>
  <c r="F27" i="11"/>
  <c r="F28" i="12"/>
  <c r="C29" i="12" s="1"/>
  <c r="D28" i="12" s="1"/>
  <c r="F27" i="68"/>
  <c r="F27" i="69"/>
  <c r="J10" i="39"/>
  <c r="W10" i="39" s="1"/>
  <c r="H10" i="40"/>
  <c r="F10" i="40"/>
  <c r="C115" i="43"/>
  <c r="D113" i="43" s="1"/>
  <c r="C30" i="43"/>
  <c r="E30" i="43" s="1"/>
  <c r="E7" i="71"/>
  <c r="E6" i="71" s="1"/>
  <c r="E5" i="71" s="1"/>
  <c r="V8" i="71"/>
  <c r="AY6" i="3"/>
  <c r="E3" i="6"/>
  <c r="K21" i="6"/>
  <c r="M21" i="6" s="1"/>
  <c r="I21" i="6" s="1"/>
  <c r="S21" i="6" s="1"/>
  <c r="K22" i="6"/>
  <c r="M22" i="6" s="1"/>
  <c r="I22" i="6" s="1"/>
  <c r="S22" i="6" s="1"/>
  <c r="K25" i="6"/>
  <c r="M25" i="6" s="1"/>
  <c r="I25" i="6" s="1"/>
  <c r="S25" i="6" s="1"/>
  <c r="K23" i="6"/>
  <c r="M23" i="6" s="1"/>
  <c r="I23" i="6" s="1"/>
  <c r="S23" i="6" s="1"/>
  <c r="K20" i="6"/>
  <c r="K24" i="6"/>
  <c r="M24" i="6" s="1"/>
  <c r="I24" i="6" s="1"/>
  <c r="S24" i="6" s="1"/>
  <c r="K14" i="1"/>
  <c r="E30" i="6"/>
  <c r="K26" i="6"/>
  <c r="M26" i="6" s="1"/>
  <c r="I26" i="6" s="1"/>
  <c r="S26" i="6" s="1"/>
  <c r="K19" i="6"/>
  <c r="S6" i="1" s="1"/>
  <c r="E31" i="6"/>
  <c r="N61" i="71"/>
  <c r="N62" i="71"/>
  <c r="B15" i="71"/>
  <c r="B14" i="71" s="1"/>
  <c r="B13" i="71" s="1"/>
  <c r="B12" i="71" s="1"/>
  <c r="S16" i="71"/>
  <c r="E69" i="3"/>
  <c r="E237" i="3"/>
  <c r="E114" i="3"/>
  <c r="E261" i="3"/>
  <c r="E278" i="3"/>
  <c r="E415" i="3"/>
  <c r="E563" i="3"/>
  <c r="E395" i="3"/>
  <c r="E183" i="3"/>
  <c r="E172" i="3"/>
  <c r="E213" i="3"/>
  <c r="E260" i="3"/>
  <c r="E361" i="3"/>
  <c r="E445" i="3"/>
  <c r="E550" i="3"/>
  <c r="E503" i="3"/>
  <c r="E302" i="3"/>
  <c r="E239" i="3"/>
  <c r="O6" i="3"/>
  <c r="E516" i="3"/>
  <c r="E579" i="3"/>
  <c r="E574" i="3"/>
  <c r="E410" i="3"/>
  <c r="E431" i="3"/>
  <c r="E396" i="3"/>
  <c r="E247" i="3"/>
  <c r="E285" i="3"/>
  <c r="E229" i="3"/>
  <c r="E143" i="3"/>
  <c r="E201" i="3"/>
  <c r="E97" i="3"/>
  <c r="E151" i="3"/>
  <c r="E397" i="3"/>
  <c r="E353" i="3"/>
  <c r="E314" i="3"/>
  <c r="E385" i="3"/>
  <c r="E568" i="3"/>
  <c r="E495" i="3"/>
  <c r="E511" i="3"/>
  <c r="I6" i="3"/>
  <c r="AN6" i="3"/>
  <c r="AI6" i="3"/>
  <c r="AK6" i="3"/>
  <c r="E578" i="3"/>
  <c r="E402" i="3"/>
  <c r="E434" i="3"/>
  <c r="E423" i="3"/>
  <c r="E453" i="3"/>
  <c r="E306" i="3"/>
  <c r="E382" i="3"/>
  <c r="E296" i="3"/>
  <c r="E263" i="3"/>
  <c r="E244" i="3"/>
  <c r="E301" i="3"/>
  <c r="E262" i="3"/>
  <c r="E245" i="3"/>
  <c r="E196" i="3"/>
  <c r="E159" i="3"/>
  <c r="E136" i="3"/>
  <c r="E191" i="3"/>
  <c r="E156" i="3"/>
  <c r="E99" i="3"/>
  <c r="E236" i="3"/>
  <c r="E188" i="3"/>
  <c r="E148" i="3"/>
  <c r="E228" i="3"/>
  <c r="E269" i="3"/>
  <c r="E181" i="3"/>
  <c r="E122" i="3"/>
  <c r="E89" i="3"/>
  <c r="E140" i="3"/>
  <c r="E120" i="3"/>
  <c r="E85" i="3"/>
  <c r="E45" i="3"/>
  <c r="E223" i="3"/>
  <c r="E277" i="3"/>
  <c r="E238" i="3"/>
  <c r="E224" i="3"/>
  <c r="E197" i="3"/>
  <c r="E116" i="3"/>
  <c r="E133" i="3"/>
  <c r="E105" i="3"/>
  <c r="E286" i="3"/>
  <c r="E327" i="3"/>
  <c r="AD6" i="3"/>
  <c r="E499" i="3"/>
  <c r="Z6" i="3"/>
  <c r="E542" i="3"/>
  <c r="U6" i="3"/>
  <c r="R6" i="3"/>
  <c r="AG6" i="3"/>
  <c r="E552" i="3"/>
  <c r="E515" i="3"/>
  <c r="AO6" i="3"/>
  <c r="E421" i="3"/>
  <c r="E411" i="3"/>
  <c r="E442" i="3"/>
  <c r="E448" i="3"/>
  <c r="E464" i="3"/>
  <c r="E478" i="3"/>
  <c r="E466" i="3"/>
  <c r="E485" i="3"/>
  <c r="E487" i="3"/>
  <c r="P6" i="3"/>
  <c r="E398" i="3"/>
  <c r="E414" i="3"/>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7" i="3"/>
  <c r="E526" i="3"/>
  <c r="E268" i="3"/>
  <c r="E322" i="3"/>
  <c r="AJ6" i="3"/>
  <c r="E539" i="3"/>
  <c r="E567" i="3"/>
  <c r="E461" i="3"/>
  <c r="E227" i="3"/>
  <c r="E165" i="3"/>
  <c r="E358" i="3"/>
  <c r="E559" i="3"/>
  <c r="E551" i="3"/>
  <c r="V6" i="3"/>
  <c r="E407" i="3"/>
  <c r="E320" i="3"/>
  <c r="E294" i="3"/>
  <c r="E230" i="3"/>
  <c r="E189" i="3"/>
  <c r="E130" i="3"/>
  <c r="E134" i="3"/>
  <c r="E254" i="3"/>
  <c r="E91" i="3"/>
  <c r="E221" i="3"/>
  <c r="E180" i="3"/>
  <c r="E207" i="3"/>
  <c r="E252" i="3"/>
  <c r="E271" i="3"/>
  <c r="E204" i="3"/>
  <c r="E145" i="3"/>
  <c r="E164" i="3"/>
  <c r="E107" i="3"/>
  <c r="E313" i="3"/>
  <c r="E330" i="3"/>
  <c r="E519" i="3"/>
  <c r="K6" i="3"/>
  <c r="E532" i="3"/>
  <c r="Q6" i="3"/>
  <c r="E573" i="3"/>
  <c r="E560" i="3"/>
  <c r="E529" i="3"/>
  <c r="E437" i="3"/>
  <c r="E458" i="3"/>
  <c r="E472" i="3"/>
  <c r="E474" i="3"/>
  <c r="E481" i="3"/>
  <c r="E527" i="3"/>
  <c r="E406" i="3"/>
  <c r="E430" i="3"/>
  <c r="E400" i="3"/>
  <c r="E416" i="3"/>
  <c r="E432" i="3"/>
  <c r="E449" i="3"/>
  <c r="E443" i="3"/>
  <c r="E459" i="3"/>
  <c r="E477" i="3"/>
  <c r="E255" i="3"/>
  <c r="E345" i="3"/>
  <c r="E374" i="3"/>
  <c r="E367" i="3"/>
  <c r="I3" i="6"/>
  <c r="E558" i="3"/>
  <c r="E566" i="3"/>
  <c r="E505" i="3"/>
  <c r="AP6"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25" i="3"/>
  <c r="E553" i="3"/>
  <c r="N6" i="3"/>
  <c r="E545" i="3"/>
  <c r="E352" i="3"/>
  <c r="E128" i="3"/>
  <c r="E311" i="3"/>
  <c r="E570" i="3"/>
  <c r="AB6" i="3"/>
  <c r="E335" i="3"/>
  <c r="E216" i="3"/>
  <c r="E185" i="3"/>
  <c r="E135" i="3"/>
  <c r="E161" i="3"/>
  <c r="E77" i="3"/>
  <c r="E253" i="3"/>
  <c r="E199" i="3"/>
  <c r="E393" i="3"/>
  <c r="E493" i="3"/>
  <c r="E564" i="3"/>
  <c r="E543" i="3"/>
  <c r="E427" i="3"/>
  <c r="E486" i="3"/>
  <c r="E507"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66" i="3"/>
  <c r="E282" i="3"/>
  <c r="E329" i="3"/>
  <c r="E510" i="3"/>
  <c r="E205" i="3"/>
  <c r="E514" i="3"/>
  <c r="M6" i="3"/>
  <c r="E387" i="3"/>
  <c r="E215" i="3"/>
  <c r="E169" i="3"/>
  <c r="E61" i="3"/>
  <c r="E290" i="3"/>
  <c r="E117" i="3"/>
  <c r="E149" i="3"/>
  <c r="E212" i="3"/>
  <c r="E167" i="3"/>
  <c r="E141" i="3"/>
  <c r="E369" i="3"/>
  <c r="E525" i="3"/>
  <c r="E534" i="3"/>
  <c r="T6" i="3"/>
  <c r="E405" i="3"/>
  <c r="E456" i="3"/>
  <c r="E469" i="3"/>
  <c r="E512"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17" i="3"/>
  <c r="E312" i="3"/>
  <c r="E177" i="3"/>
  <c r="E337" i="3"/>
  <c r="E518" i="3"/>
  <c r="E585" i="3"/>
  <c r="E548" i="3"/>
  <c r="E528" i="3"/>
  <c r="E509" i="3"/>
  <c r="E502" i="3"/>
  <c r="E16" i="3"/>
  <c r="E157" i="3"/>
  <c r="E379" i="3"/>
  <c r="E541" i="3"/>
  <c r="E555" i="3"/>
  <c r="E569" i="3"/>
  <c r="E586" i="3"/>
  <c r="E575" i="3"/>
  <c r="E359" i="3"/>
  <c r="E304" i="3"/>
  <c r="E350" i="3"/>
  <c r="E173" i="3"/>
  <c r="E303" i="3"/>
  <c r="E535" i="3"/>
  <c r="E536" i="3"/>
  <c r="E368" i="3"/>
  <c r="E193" i="3"/>
  <c r="E388" i="3"/>
  <c r="E549" i="3"/>
  <c r="E565" i="3"/>
  <c r="E576" i="3"/>
  <c r="C18" i="71"/>
  <c r="D19" i="71"/>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27" i="43"/>
  <c r="C53" i="67"/>
  <c r="C10" i="67"/>
  <c r="C5" i="67" s="1"/>
  <c r="C53" i="15"/>
  <c r="C48" i="15" s="1"/>
  <c r="C10" i="15"/>
  <c r="C5" i="15" s="1"/>
  <c r="F25" i="12"/>
  <c r="F22" i="69"/>
  <c r="F41" i="69" s="1"/>
  <c r="F24" i="67"/>
  <c r="C24" i="67" s="1"/>
  <c r="F22" i="11"/>
  <c r="F22" i="68"/>
  <c r="F24" i="15"/>
  <c r="C24" i="15" s="1"/>
  <c r="E6" i="76"/>
  <c r="C17" i="15"/>
  <c r="C16" i="79"/>
  <c r="F41" i="15"/>
  <c r="AC10" i="39" l="1"/>
  <c r="E66" i="39"/>
  <c r="U10" i="39"/>
  <c r="J24" i="79"/>
  <c r="C48" i="79"/>
  <c r="C66" i="79" s="1"/>
  <c r="E6" i="70"/>
  <c r="T32" i="71"/>
  <c r="D32" i="71"/>
  <c r="Q61" i="79"/>
  <c r="Q74" i="79"/>
  <c r="F1" i="79"/>
  <c r="Q52" i="79"/>
  <c r="C33" i="79"/>
  <c r="C32" i="79"/>
  <c r="Q60" i="79"/>
  <c r="Q73" i="79"/>
  <c r="L46" i="79"/>
  <c r="Q66" i="79"/>
  <c r="Q57" i="79"/>
  <c r="C19" i="67"/>
  <c r="C20" i="67" s="1"/>
  <c r="C26" i="67" s="1"/>
  <c r="F69" i="15"/>
  <c r="J29" i="15"/>
  <c r="W10" i="40"/>
  <c r="C38" i="79"/>
  <c r="J24" i="15"/>
  <c r="J24" i="67"/>
  <c r="M20" i="6"/>
  <c r="I20" i="6" s="1"/>
  <c r="S20" i="6" s="1"/>
  <c r="S7" i="1"/>
  <c r="S16" i="1" s="1"/>
  <c r="C48" i="67"/>
  <c r="C66" i="67" s="1"/>
  <c r="AQ6" i="1"/>
  <c r="T6" i="1"/>
  <c r="AR6" i="1"/>
  <c r="F45" i="69"/>
  <c r="C29" i="69"/>
  <c r="D27" i="69" s="1"/>
  <c r="C47" i="69"/>
  <c r="D45" i="69" s="1"/>
  <c r="C29" i="68"/>
  <c r="D27" i="68" s="1"/>
  <c r="F45" i="68"/>
  <c r="C47" i="68"/>
  <c r="D45" i="68" s="1"/>
  <c r="C29" i="11"/>
  <c r="D27" i="11" s="1"/>
  <c r="C47" i="11"/>
  <c r="D45" i="11" s="1"/>
  <c r="AC6" i="3"/>
  <c r="H6" i="3"/>
  <c r="AB10" i="40"/>
  <c r="U10" i="40"/>
  <c r="AA10" i="40"/>
  <c r="S10" i="40"/>
  <c r="C17" i="71"/>
  <c r="D18" i="71"/>
  <c r="B11" i="71"/>
  <c r="B10" i="71" s="1"/>
  <c r="B9" i="71" s="1"/>
  <c r="B8" i="71" s="1"/>
  <c r="S12" i="71"/>
  <c r="M19" i="6"/>
  <c r="K27" i="6"/>
  <c r="D3" i="34"/>
  <c r="D3" i="33"/>
  <c r="E6" i="6"/>
  <c r="D37" i="11"/>
  <c r="C37" i="11" s="1"/>
  <c r="D14" i="12"/>
  <c r="M18" i="9"/>
  <c r="B118" i="9" s="1"/>
  <c r="B14" i="74" s="1"/>
  <c r="B1" i="74" s="1"/>
  <c r="D3" i="21"/>
  <c r="C17" i="4"/>
  <c r="B4" i="52" s="1"/>
  <c r="B43" i="72" s="1"/>
  <c r="L18" i="9"/>
  <c r="D19" i="11"/>
  <c r="C19" i="11" s="1"/>
  <c r="D3" i="37"/>
  <c r="M14" i="1"/>
  <c r="K16" i="1"/>
  <c r="C34" i="69"/>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I70" i="39"/>
  <c r="J68"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E2" i="76"/>
  <c r="B2" i="43"/>
  <c r="C60" i="15"/>
  <c r="C66" i="15"/>
  <c r="C26" i="69"/>
  <c r="D22" i="69" s="1"/>
  <c r="C44" i="69"/>
  <c r="D41" i="69" s="1"/>
  <c r="C44" i="68"/>
  <c r="D41" i="68" s="1"/>
  <c r="C26" i="68"/>
  <c r="D22" i="68" s="1"/>
  <c r="C26" i="12"/>
  <c r="D25" i="12" s="1"/>
  <c r="C44" i="11"/>
  <c r="D41" i="11" s="1"/>
  <c r="C23" i="11"/>
  <c r="C24" i="11"/>
  <c r="C26" i="11"/>
  <c r="D22" i="11" s="1"/>
  <c r="C38" i="67"/>
  <c r="C38" i="15"/>
  <c r="C23" i="67"/>
  <c r="C29" i="67" s="1"/>
  <c r="C17" i="79"/>
  <c r="AE7" i="1"/>
  <c r="B6" i="76"/>
  <c r="C14" i="15"/>
  <c r="C60" i="79" l="1"/>
  <c r="C15" i="15"/>
  <c r="C18" i="15"/>
  <c r="E7" i="70"/>
  <c r="E2" i="70" s="1"/>
  <c r="C60" i="67"/>
  <c r="AQ7" i="1"/>
  <c r="T7" i="1"/>
  <c r="AR7" i="1"/>
  <c r="E6" i="3"/>
  <c r="D17" i="12"/>
  <c r="C17" i="12" s="1"/>
  <c r="C14" i="12"/>
  <c r="D10" i="11"/>
  <c r="C10" i="11" s="1"/>
  <c r="D20" i="12"/>
  <c r="C20" i="12" s="1"/>
  <c r="D10" i="68"/>
  <c r="D10" i="69"/>
  <c r="I19" i="6"/>
  <c r="H19" i="6" s="1"/>
  <c r="M27" i="6"/>
  <c r="B7" i="71"/>
  <c r="B6" i="71" s="1"/>
  <c r="B5" i="71" s="1"/>
  <c r="S8" i="71"/>
  <c r="D25" i="6"/>
  <c r="D15" i="6"/>
  <c r="D22" i="6"/>
  <c r="D21" i="6"/>
  <c r="D24" i="6"/>
  <c r="D20" i="6"/>
  <c r="D6" i="6"/>
  <c r="D9" i="6"/>
  <c r="D10" i="6"/>
  <c r="L19" i="9"/>
  <c r="D29" i="6"/>
  <c r="H25" i="6"/>
  <c r="H22" i="6"/>
  <c r="H21" i="6"/>
  <c r="H24" i="6"/>
  <c r="H20" i="6"/>
  <c r="M19" i="9"/>
  <c r="C118" i="9" s="1"/>
  <c r="C14" i="74" s="1"/>
  <c r="B2" i="74" s="1"/>
  <c r="D19" i="6"/>
  <c r="D26" i="6"/>
  <c r="C18" i="4"/>
  <c r="D8" i="6"/>
  <c r="D23" i="6"/>
  <c r="D14" i="6"/>
  <c r="D5" i="6"/>
  <c r="D12" i="6"/>
  <c r="D11" i="6"/>
  <c r="D13" i="6"/>
  <c r="D28" i="6"/>
  <c r="E61" i="40"/>
  <c r="H23" i="6"/>
  <c r="H26" i="6"/>
  <c r="C35" i="69"/>
  <c r="C38" i="69"/>
  <c r="M16" i="1"/>
  <c r="O14" i="1"/>
  <c r="O16" i="1" s="1"/>
  <c r="C20" i="11"/>
  <c r="C25" i="11" s="1"/>
  <c r="C7" i="74"/>
  <c r="C8" i="74"/>
  <c r="D17" i="71"/>
  <c r="C16" i="7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C33" i="15"/>
  <c r="J59" i="15"/>
  <c r="J60" i="15" s="1"/>
  <c r="C22" i="11"/>
  <c r="C36" i="67"/>
  <c r="C33" i="67"/>
  <c r="C31" i="67" s="1"/>
  <c r="J14" i="67"/>
  <c r="C13" i="67"/>
  <c r="J19" i="67"/>
  <c r="J17" i="67" s="1"/>
  <c r="C57" i="67"/>
  <c r="C61" i="67" s="1"/>
  <c r="Q49" i="67"/>
  <c r="J59" i="67"/>
  <c r="J60" i="67" s="1"/>
  <c r="C14" i="79"/>
  <c r="F41" i="79"/>
  <c r="J29" i="79" l="1"/>
  <c r="F69" i="79"/>
  <c r="C19" i="15"/>
  <c r="C20" i="15" s="1"/>
  <c r="C26" i="15" s="1"/>
  <c r="C18" i="79"/>
  <c r="C15" i="79"/>
  <c r="T16" i="1"/>
  <c r="D16" i="6"/>
  <c r="H27" i="6"/>
  <c r="D30" i="6"/>
  <c r="P14" i="1"/>
  <c r="P16" i="1" s="1"/>
  <c r="C11" i="12" s="1"/>
  <c r="C15" i="12" s="1"/>
  <c r="R26" i="6"/>
  <c r="D7" i="74"/>
  <c r="D8" i="74"/>
  <c r="R20" i="6"/>
  <c r="R7" i="1" s="1"/>
  <c r="R21" i="6"/>
  <c r="C10" i="69"/>
  <c r="C8" i="69" s="1"/>
  <c r="C5" i="69" s="1"/>
  <c r="D19" i="69"/>
  <c r="C15" i="71"/>
  <c r="T16" i="71"/>
  <c r="D16" i="71"/>
  <c r="U16" i="71" s="1"/>
  <c r="C28" i="11"/>
  <c r="C27" i="11" s="1"/>
  <c r="C31" i="11" s="1"/>
  <c r="C34" i="11"/>
  <c r="N16" i="1"/>
  <c r="L16" i="1"/>
  <c r="C34" i="68"/>
  <c r="R23" i="6"/>
  <c r="A7" i="51"/>
  <c r="B7" i="72" s="1"/>
  <c r="C4" i="52"/>
  <c r="B45" i="72" s="1"/>
  <c r="A10" i="51"/>
  <c r="B9" i="72" s="1"/>
  <c r="D27" i="6"/>
  <c r="R19" i="6"/>
  <c r="R24" i="6"/>
  <c r="R22" i="6"/>
  <c r="R25" i="6"/>
  <c r="S19" i="6"/>
  <c r="S27" i="6" s="1"/>
  <c r="I27" i="6"/>
  <c r="C10" i="68"/>
  <c r="D19" i="68"/>
  <c r="K70" i="39"/>
  <c r="L68" i="39"/>
  <c r="I63" i="40"/>
  <c r="H65" i="40"/>
  <c r="I58" i="21"/>
  <c r="J58" i="21" s="1"/>
  <c r="K58" i="21" s="1"/>
  <c r="L58" i="21" s="1"/>
  <c r="M58" i="21" s="1"/>
  <c r="N58" i="21" s="1"/>
  <c r="O58" i="21" s="1"/>
  <c r="H7" i="21" s="1"/>
  <c r="F7" i="21"/>
  <c r="J48" i="35"/>
  <c r="Q48" i="15"/>
  <c r="L46" i="15"/>
  <c r="J13" i="67"/>
  <c r="J23" i="67" s="1"/>
  <c r="J22" i="67"/>
  <c r="C59" i="67"/>
  <c r="C64" i="67"/>
  <c r="Q48" i="67"/>
  <c r="L46" i="67"/>
  <c r="C56" i="67"/>
  <c r="C65" i="67" s="1"/>
  <c r="C75" i="67"/>
  <c r="Q70" i="67"/>
  <c r="C37" i="67"/>
  <c r="C30" i="67" s="1"/>
  <c r="C39" i="67" s="1"/>
  <c r="L51" i="67"/>
  <c r="B29" i="1" l="1"/>
  <c r="C8" i="68" s="1"/>
  <c r="D31" i="6"/>
  <c r="I5" i="6" s="1"/>
  <c r="C23" i="15"/>
  <c r="C29" i="15" s="1"/>
  <c r="C36" i="15" s="1"/>
  <c r="C19" i="79"/>
  <c r="C20" i="79" s="1"/>
  <c r="R27" i="6"/>
  <c r="R6" i="1"/>
  <c r="C12" i="12"/>
  <c r="C16" i="12" s="1"/>
  <c r="J7" i="21"/>
  <c r="C35" i="68"/>
  <c r="C38" i="68"/>
  <c r="F50" i="69"/>
  <c r="F50" i="11"/>
  <c r="F50" i="68"/>
  <c r="C19" i="69"/>
  <c r="C24" i="69" s="1"/>
  <c r="D37" i="69"/>
  <c r="C37" i="69" s="1"/>
  <c r="C33" i="69" s="1"/>
  <c r="C19" i="68"/>
  <c r="D37" i="68"/>
  <c r="C37" i="68" s="1"/>
  <c r="I6" i="6"/>
  <c r="C38" i="11"/>
  <c r="C35" i="11"/>
  <c r="C14" i="71"/>
  <c r="D15" i="71"/>
  <c r="C23" i="69"/>
  <c r="L70" i="39"/>
  <c r="M68"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M21" i="15"/>
  <c r="M21" i="79"/>
  <c r="F35" i="15"/>
  <c r="F35" i="79"/>
  <c r="J14" i="15" l="1"/>
  <c r="J22" i="15" s="1"/>
  <c r="C18" i="12"/>
  <c r="C57" i="15"/>
  <c r="C64" i="15" s="1"/>
  <c r="C13" i="15"/>
  <c r="C56" i="15" s="1"/>
  <c r="C65" i="15" s="1"/>
  <c r="Q49" i="15"/>
  <c r="J19" i="15"/>
  <c r="C26" i="79"/>
  <c r="C23" i="79"/>
  <c r="C61" i="15"/>
  <c r="C21" i="12"/>
  <c r="C22" i="12" s="1"/>
  <c r="C27" i="12" s="1"/>
  <c r="C25" i="12" s="1"/>
  <c r="C20" i="69"/>
  <c r="C25" i="69" s="1"/>
  <c r="C22" i="69" s="1"/>
  <c r="J20" i="79"/>
  <c r="F63" i="79"/>
  <c r="C62" i="79" s="1"/>
  <c r="C34" i="79"/>
  <c r="C31" i="79" s="1"/>
  <c r="C34" i="15"/>
  <c r="C31" i="15" s="1"/>
  <c r="F63" i="15"/>
  <c r="C62" i="15" s="1"/>
  <c r="J20" i="15"/>
  <c r="R16" i="1"/>
  <c r="C33" i="11"/>
  <c r="C33" i="68"/>
  <c r="C39" i="69"/>
  <c r="C43" i="69" s="1"/>
  <c r="C42" i="69"/>
  <c r="C28" i="69"/>
  <c r="C27" i="69" s="1"/>
  <c r="C13" i="71"/>
  <c r="D14" i="71"/>
  <c r="C24" i="68"/>
  <c r="M70" i="39"/>
  <c r="N68"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J13" i="15" l="1"/>
  <c r="J23" i="15" s="1"/>
  <c r="C59" i="15"/>
  <c r="C58" i="15" s="1"/>
  <c r="C67" i="15" s="1"/>
  <c r="C68" i="15" s="1"/>
  <c r="C71" i="15" s="1"/>
  <c r="J17" i="15"/>
  <c r="Q70" i="15"/>
  <c r="C37" i="15"/>
  <c r="C30" i="15" s="1"/>
  <c r="C39" i="15" s="1"/>
  <c r="C75" i="15"/>
  <c r="C29" i="79"/>
  <c r="C30" i="12"/>
  <c r="C28" i="12" s="1"/>
  <c r="C32" i="12" s="1"/>
  <c r="B2" i="12" s="1"/>
  <c r="B3" i="12" s="1"/>
  <c r="L57" i="15"/>
  <c r="L60" i="15" s="1"/>
  <c r="Q57" i="15" s="1"/>
  <c r="C41" i="69"/>
  <c r="C46" i="69"/>
  <c r="C45" i="69" s="1"/>
  <c r="C31" i="69"/>
  <c r="C39" i="11"/>
  <c r="C42" i="11"/>
  <c r="C12" i="71"/>
  <c r="D13" i="71"/>
  <c r="C39" i="68"/>
  <c r="C42" i="68"/>
  <c r="O68" i="39"/>
  <c r="O70" i="39" s="1"/>
  <c r="N70" i="39"/>
  <c r="F7" i="39" s="1"/>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J16" i="15" l="1"/>
  <c r="J25" i="15" s="1"/>
  <c r="Q67" i="15"/>
  <c r="C80" i="15"/>
  <c r="C79" i="15" s="1"/>
  <c r="C40" i="15"/>
  <c r="B2" i="15" s="1"/>
  <c r="Q69" i="15"/>
  <c r="Q68" i="15" s="1"/>
  <c r="C57" i="79"/>
  <c r="C13" i="79"/>
  <c r="C36" i="79"/>
  <c r="J14" i="79"/>
  <c r="J19" i="79"/>
  <c r="J17" i="79" s="1"/>
  <c r="Q49" i="79"/>
  <c r="Q66" i="15"/>
  <c r="C49" i="69"/>
  <c r="C51" i="69" s="1"/>
  <c r="C46" i="11"/>
  <c r="C45" i="11" s="1"/>
  <c r="C43" i="11"/>
  <c r="C41" i="11" s="1"/>
  <c r="C46" i="68"/>
  <c r="C45" i="68" s="1"/>
  <c r="C43" i="68"/>
  <c r="C41" i="68" s="1"/>
  <c r="C11" i="71"/>
  <c r="T12" i="71"/>
  <c r="D12" i="71"/>
  <c r="U12" i="71" s="1"/>
  <c r="H7" i="39"/>
  <c r="J7" i="39"/>
  <c r="AA7" i="39"/>
  <c r="R47" i="39" s="1"/>
  <c r="S7" i="39"/>
  <c r="R39" i="35"/>
  <c r="E38" i="35"/>
  <c r="M63" i="40"/>
  <c r="L65" i="40"/>
  <c r="AO6" i="1"/>
  <c r="C46" i="15" l="1"/>
  <c r="C43" i="15"/>
  <c r="Q65" i="15"/>
  <c r="C83" i="15"/>
  <c r="C82" i="15" s="1"/>
  <c r="Q56" i="15"/>
  <c r="Q62" i="15" s="1"/>
  <c r="Q47" i="15"/>
  <c r="Q53" i="15" s="1"/>
  <c r="J22" i="79"/>
  <c r="J13" i="79"/>
  <c r="J23" i="79" s="1"/>
  <c r="C75" i="79"/>
  <c r="C56" i="79"/>
  <c r="C65" i="79" s="1"/>
  <c r="C37" i="79"/>
  <c r="C30" i="79" s="1"/>
  <c r="C39" i="79" s="1"/>
  <c r="Q70" i="79"/>
  <c r="C64" i="79"/>
  <c r="C61" i="79"/>
  <c r="C59" i="79" s="1"/>
  <c r="Q75" i="15"/>
  <c r="B6" i="70"/>
  <c r="B3" i="15"/>
  <c r="C49" i="11"/>
  <c r="C51" i="11" s="1"/>
  <c r="C52" i="11" s="1"/>
  <c r="B2" i="11" s="1"/>
  <c r="B3" i="11" s="1"/>
  <c r="C52" i="69"/>
  <c r="B2" i="69" s="1"/>
  <c r="B3" i="69" s="1"/>
  <c r="C49" i="68"/>
  <c r="C51" i="68" s="1"/>
  <c r="D11" i="71"/>
  <c r="C10" i="71"/>
  <c r="E47" i="39"/>
  <c r="W7" i="39"/>
  <c r="AC7" i="39"/>
  <c r="V47" i="39" s="1"/>
  <c r="I47" i="39" s="1"/>
  <c r="U7" i="39"/>
  <c r="AB7" i="39"/>
  <c r="T47" i="39" s="1"/>
  <c r="G47" i="39" s="1"/>
  <c r="C39" i="35"/>
  <c r="B2" i="35" s="1"/>
  <c r="B3" i="35" s="1"/>
  <c r="C38" i="35"/>
  <c r="N63" i="40"/>
  <c r="M65" i="40"/>
  <c r="E43" i="35"/>
  <c r="F43" i="35" s="1"/>
  <c r="E42" i="35"/>
  <c r="F42" i="35" s="1"/>
  <c r="I43" i="35"/>
  <c r="J43" i="35" s="1"/>
  <c r="L51" i="79"/>
  <c r="J16" i="79" l="1"/>
  <c r="J25" i="79" s="1"/>
  <c r="C58" i="79"/>
  <c r="C67" i="79" s="1"/>
  <c r="C68" i="79" s="1"/>
  <c r="C71" i="79" s="1"/>
  <c r="Q67" i="79"/>
  <c r="C80" i="79"/>
  <c r="C79" i="79" s="1"/>
  <c r="C40" i="79"/>
  <c r="Q69" i="79"/>
  <c r="Q68" i="79" s="1"/>
  <c r="R48" i="39"/>
  <c r="C47" i="39" s="1"/>
  <c r="C57" i="69"/>
  <c r="C56" i="69" s="1"/>
  <c r="C56" i="11"/>
  <c r="C57" i="11" s="1"/>
  <c r="C9" i="71"/>
  <c r="D10" i="71"/>
  <c r="E52" i="39"/>
  <c r="F52" i="39" s="1"/>
  <c r="E51" i="39"/>
  <c r="F51" i="39" s="1"/>
  <c r="G51" i="39"/>
  <c r="H51" i="39" s="1"/>
  <c r="G52" i="39"/>
  <c r="H52" i="39" s="1"/>
  <c r="I51" i="39"/>
  <c r="J51" i="39" s="1"/>
  <c r="I52" i="39"/>
  <c r="J52" i="39" s="1"/>
  <c r="O63" i="40"/>
  <c r="O65" i="40" s="1"/>
  <c r="N65" i="40"/>
  <c r="C48" i="39" l="1"/>
  <c r="B57" i="39" s="1"/>
  <c r="F57" i="39" s="1"/>
  <c r="B2" i="79"/>
  <c r="Q56" i="79"/>
  <c r="Q62" i="79" s="1"/>
  <c r="C83" i="79"/>
  <c r="C82" i="79" s="1"/>
  <c r="Q47" i="79"/>
  <c r="Q53" i="79" s="1"/>
  <c r="Q65" i="79"/>
  <c r="Q75" i="79" s="1"/>
  <c r="C43" i="79"/>
  <c r="C46" i="79"/>
  <c r="D9" i="71"/>
  <c r="C8" i="71"/>
  <c r="B56" i="39"/>
  <c r="F56" i="39" s="1"/>
  <c r="J7" i="40"/>
  <c r="F7" i="40"/>
  <c r="H7" i="40"/>
  <c r="AO7" i="1"/>
  <c r="B60" i="39" l="1"/>
  <c r="F60" i="39" s="1"/>
  <c r="B65" i="39"/>
  <c r="F65" i="39" s="1"/>
  <c r="B61" i="39"/>
  <c r="F61" i="39" s="1"/>
  <c r="B64" i="39"/>
  <c r="F64" i="39" s="1"/>
  <c r="B62" i="39"/>
  <c r="F62" i="39" s="1"/>
  <c r="B59" i="39"/>
  <c r="F59" i="39" s="1"/>
  <c r="B63" i="39"/>
  <c r="F63" i="39" s="1"/>
  <c r="B58" i="39"/>
  <c r="F58" i="39" s="1"/>
  <c r="B7" i="70"/>
  <c r="B2" i="70" s="1"/>
  <c r="B3" i="79"/>
  <c r="C7" i="71"/>
  <c r="T8" i="71"/>
  <c r="D8" i="71"/>
  <c r="U8" i="71" s="1"/>
  <c r="U7" i="40"/>
  <c r="AB7" i="40"/>
  <c r="T42" i="40" s="1"/>
  <c r="G42" i="40" s="1"/>
  <c r="AA7" i="40"/>
  <c r="R42" i="40" s="1"/>
  <c r="S7" i="40"/>
  <c r="AC7" i="40"/>
  <c r="V42" i="40" s="1"/>
  <c r="I42" i="40" s="1"/>
  <c r="W7" i="40"/>
  <c r="D19" i="9"/>
  <c r="F66" i="39" l="1"/>
  <c r="B2" i="39" s="1"/>
  <c r="C6" i="68" s="1"/>
  <c r="D21" i="9"/>
  <c r="D102" i="9"/>
  <c r="B3" i="70"/>
  <c r="B3" i="39"/>
  <c r="D7" i="71"/>
  <c r="C6" i="71"/>
  <c r="I46" i="40"/>
  <c r="J46" i="40" s="1"/>
  <c r="R43" i="40"/>
  <c r="E42" i="40"/>
  <c r="G47" i="40"/>
  <c r="H47" i="40" s="1"/>
  <c r="G46" i="40"/>
  <c r="H46" i="40" s="1"/>
  <c r="D20" i="9"/>
  <c r="D103" i="9" l="1"/>
  <c r="C7" i="68"/>
  <c r="C5" i="68" s="1"/>
  <c r="C5" i="71"/>
  <c r="D6" i="71"/>
  <c r="C42" i="40"/>
  <c r="C43" i="40"/>
  <c r="E47" i="40"/>
  <c r="F47" i="40" s="1"/>
  <c r="E46" i="40"/>
  <c r="F46" i="40" s="1"/>
  <c r="I47" i="40"/>
  <c r="J47" i="40" s="1"/>
  <c r="C23" i="68" l="1"/>
  <c r="C20" i="68"/>
  <c r="C25" i="68" s="1"/>
  <c r="M20" i="43"/>
  <c r="D5"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28" i="68" l="1"/>
  <c r="C27" i="68" s="1"/>
  <c r="C22" i="68"/>
  <c r="C31" i="68" l="1"/>
  <c r="C52" i="68" s="1"/>
  <c r="B2" i="68" l="1"/>
  <c r="C57" i="68"/>
  <c r="C56" i="68" s="1"/>
  <c r="C19" i="9"/>
  <c r="D22" i="9" l="1"/>
  <c r="C21" i="9"/>
  <c r="G19" i="9"/>
  <c r="C102" i="9"/>
  <c r="B3" i="68"/>
  <c r="D35" i="9"/>
  <c r="C20" i="9"/>
  <c r="D34" i="9"/>
  <c r="G20" i="9" l="1"/>
  <c r="C103" i="9"/>
  <c r="G21" i="9"/>
  <c r="C32" i="9"/>
  <c r="C35" i="9" l="1"/>
  <c r="H118" i="9"/>
  <c r="C34" i="9" l="1"/>
  <c r="D118" i="9" s="1"/>
  <c r="F118" i="9"/>
  <c r="H4" i="52"/>
  <c r="H101" i="9"/>
  <c r="H119" i="9"/>
  <c r="H5" i="52" s="1"/>
  <c r="I118" i="9"/>
  <c r="C104" i="9"/>
  <c r="D14" i="74"/>
  <c r="D119" i="9" l="1"/>
  <c r="D5" i="52" s="1"/>
  <c r="B49" i="72" s="1"/>
  <c r="D4" i="52"/>
  <c r="B47" i="72" s="1"/>
  <c r="E14" i="74"/>
  <c r="B5" i="74"/>
  <c r="F14" i="74"/>
  <c r="H102" i="9"/>
  <c r="D7" i="53" s="1"/>
  <c r="B21" i="72" s="1"/>
  <c r="C105" i="9"/>
  <c r="I4" i="52"/>
  <c r="D5" i="53"/>
  <c r="M48" i="9"/>
  <c r="D45" i="9"/>
  <c r="H107" i="9"/>
  <c r="G118" i="9"/>
  <c r="G4" i="52" s="1"/>
  <c r="B52" i="72" s="1"/>
  <c r="F4" i="52"/>
  <c r="B51" i="72" s="1"/>
  <c r="F119" i="9"/>
  <c r="F5" i="52" s="1"/>
  <c r="B53" i="72" s="1"/>
  <c r="E118" i="9" l="1"/>
  <c r="E4" i="52" s="1"/>
  <c r="B48" i="72" s="1"/>
  <c r="D52" i="9"/>
  <c r="C72" i="9"/>
  <c r="D53" i="9"/>
  <c r="C93" i="9"/>
  <c r="C86" i="9" s="1"/>
  <c r="D55" i="9"/>
  <c r="M53" i="9" s="1"/>
  <c r="C78" i="9"/>
  <c r="C73" i="9" s="1"/>
  <c r="C85" i="9"/>
  <c r="C64" i="9"/>
  <c r="C63" i="9" s="1"/>
  <c r="C67" i="9" s="1"/>
  <c r="B20" i="72"/>
  <c r="D6" i="53"/>
  <c r="B22" i="72" s="1"/>
  <c r="D5" i="74"/>
  <c r="C5" i="74"/>
  <c r="D122" i="9"/>
  <c r="M49" i="9"/>
  <c r="H108" i="9"/>
  <c r="D15" i="53" s="1"/>
  <c r="B31" i="72" s="1"/>
  <c r="D13" i="53"/>
  <c r="C95" i="9" l="1"/>
  <c r="C96" i="9" s="1"/>
  <c r="E96" i="9" s="1"/>
  <c r="E97" i="9" s="1"/>
  <c r="L67" i="9"/>
  <c r="M67" i="9" s="1"/>
  <c r="L68" i="9"/>
  <c r="M68" i="9" s="1"/>
  <c r="L66" i="9"/>
  <c r="M66" i="9" s="1"/>
  <c r="L63" i="9"/>
  <c r="M63" i="9" s="1"/>
  <c r="L64" i="9"/>
  <c r="M64" i="9" s="1"/>
  <c r="L65" i="9"/>
  <c r="M65" i="9" s="1"/>
  <c r="C68" i="9"/>
  <c r="D54" i="9" s="1"/>
  <c r="D59" i="9"/>
  <c r="M55" i="9" s="1"/>
  <c r="C79" i="9"/>
  <c r="B30" i="72"/>
  <c r="D14" i="53"/>
  <c r="B32" i="72" s="1"/>
  <c r="G14" i="74"/>
  <c r="B6" i="74" s="1"/>
  <c r="D8" i="52"/>
  <c r="D123" i="9"/>
  <c r="D9" i="52" s="1"/>
  <c r="C97" i="9" l="1"/>
  <c r="D58" i="9" s="1"/>
  <c r="D56" i="9" s="1"/>
  <c r="M54" i="9" s="1"/>
  <c r="N57" i="9" s="1"/>
  <c r="P57" i="9" s="1"/>
  <c r="C80" i="9"/>
  <c r="E80" i="9" s="1"/>
  <c r="E81" i="9" s="1"/>
  <c r="M69" i="9"/>
  <c r="N69" i="9" s="1"/>
  <c r="C6" i="74"/>
  <c r="D6" i="74"/>
  <c r="N59" i="9" l="1"/>
  <c r="N61" i="9" s="1"/>
  <c r="N58" i="9"/>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<sst xmlns="http://schemas.openxmlformats.org/spreadsheetml/2006/main" count="9556" uniqueCount="3771">
  <si>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</si>
  <si>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</si>
  <si>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</si>
  <si>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</si>
  <si>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</si>
  <si>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</si>
  <si>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</si>
  <si>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</si>
  <si>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</si>
  <si>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</si>
  <si>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</si>
  <si>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</si>
  <si>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</si>
  <si>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</si>
  <si>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</si>
  <si>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</si>
  <si>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</si>
  <si>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</si>
  <si>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</si>
  <si>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</si>
  <si>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</si>
  <si>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</si>
  <si>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</si>
  <si>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</si>
  <si>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</si>
  <si>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</si>
  <si>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</si>
  <si>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</si>
  <si>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</si>
  <si>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</si>
  <si>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</si>
  <si>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</si>
  <si>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</si>
  <si>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</si>
  <si>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</si>
  <si>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</si>
  <si>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</si>
  <si>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</si>
  <si>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</si>
  <si>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</si>
  <si>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</si>
  <si>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</si>
  <si>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</si>
  <si>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</si>
  <si>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</si>
  <si>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</si>
  <si>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</si>
  <si>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</si>
  <si>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</si>
  <si>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</si>
  <si>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</si>
  <si>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</si>
  <si>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</si>
  <si>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</si>
  <si>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</si>
  <si>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</si>
  <si>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</si>
  <si>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</si>
  <si>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</si>
  <si>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</si>
  <si>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</si>
  <si>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</si>
  <si>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</si>
  <si>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</si>
  <si>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</si>
  <si>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</si>
  <si>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</si>
  <si>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</si>
  <si>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</si>
  <si>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</si>
  <si>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</si>
  <si>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</si>
  <si>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</si>
  <si>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</si>
  <si>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</si>
  <si>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</si>
  <si>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</si>
  <si>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</si>
  <si>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</si>
  <si>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</si>
  <si>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</si>
  <si>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</si>
  <si>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</si>
  <si>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</si>
  <si>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</si>
  <si>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</si>
  <si>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</si>
  <si>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</si>
  <si>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</si>
  <si>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</si>
  <si>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</si>
  <si>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</si>
  <si>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</si>
  <si>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</si>
  <si>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</si>
  <si>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</si>
  <si>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</si>
  <si>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</si>
  <si>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</si>
  <si>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</si>
  <si>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</si>
  <si>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</si>
  <si>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</si>
  <si>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</si>
  <si>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</si>
  <si>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</si>
  <si>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</si>
  <si>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</si>
  <si>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</si>
  <si>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</si>
  <si>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</si>
  <si>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</si>
  <si>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</si>
  <si>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</si>
  <si>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</si>
  <si>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</si>
  <si>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</si>
  <si>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</si>
  <si>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</si>
  <si>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</si>
  <si>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</si>
  <si>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</si>
  <si>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</si>
  <si>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</si>
  <si>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</si>
  <si>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</si>
  <si>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</si>
  <si>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</si>
  <si>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</si>
  <si>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</si>
  <si>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</si>
  <si>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</si>
  <si>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</si>
  <si>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</si>
  <si>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</si>
  <si>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</si>
  <si>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</si>
  <si>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</si>
  <si>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</si>
  <si>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</si>
  <si>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</si>
  <si>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</si>
  <si>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</si>
  <si>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</si>
  <si>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</si>
  <si>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</si>
  <si>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</si>
  <si>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</si>
  <si>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</si>
  <si>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</si>
  <si>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</si>
  <si>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</si>
  <si>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</si>
  <si>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</si>
  <si>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</si>
  <si>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</si>
  <si>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</si>
  <si>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</si>
  <si>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</si>
  <si>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</si>
  <si>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</si>
  <si>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</si>
  <si>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</si>
  <si>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</si>
  <si>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</si>
  <si>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</si>
  <si>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</si>
  <si>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</si>
  <si>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</si>
  <si>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</si>
  <si>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</si>
  <si>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</si>
  <si>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</si>
  <si>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</si>
  <si>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</si>
  <si>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</si>
  <si>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</si>
  <si>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</si>
  <si>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</si>
  <si>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</si>
  <si>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</si>
  <si>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</si>
  <si>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</si>
  <si>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</si>
  <si>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</si>
  <si>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</si>
  <si>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</si>
  <si>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</si>
  <si>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</si>
  <si>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</si>
  <si>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</si>
  <si>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</si>
  <si>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</si>
  <si>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</si>
  <si>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</si>
  <si>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</si>
  <si>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</si>
  <si>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</si>
  <si>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</si>
  <si>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</si>
  <si>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</si>
  <si>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</si>
  <si>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</si>
  <si>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</si>
  <si>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</si>
  <si>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</si>
  <si>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</si>
  <si>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</si>
  <si>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</si>
  <si>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</si>
  <si>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</si>
  <si>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</si>
  <si>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</si>
  <si>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</si>
  <si>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</si>
  <si>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</si>
  <si>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</si>
  <si>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</si>
  <si>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</si>
  <si>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</si>
  <si>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</si>
  <si>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</si>
  <si>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</si>
  <si>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</si>
  <si>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</si>
  <si>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</si>
  <si>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</si>
  <si>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</si>
  <si>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</si>
  <si>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</si>
  <si>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</si>
  <si>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</si>
  <si>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</si>
  <si>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</si>
  <si>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</si>
  <si>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</si>
  <si>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</si>
  <si>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</si>
  <si>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</si>
  <si>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</si>
  <si>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</si>
  <si>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</si>
  <si>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</si>
  <si>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</si>
  <si>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</si>
  <si>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</si>
  <si>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</si>
  <si>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</si>
  <si>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</si>
  <si>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</si>
  <si>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</si>
  <si>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</si>
  <si>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</si>
  <si>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</si>
  <si>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</si>
  <si>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</si>
  <si>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</si>
  <si>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</si>
  <si>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</si>
  <si>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</si>
  <si>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</si>
  <si>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</si>
  <si>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</si>
  <si>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</si>
  <si>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</si>
  <si>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</si>
  <si>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</si>
  <si>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</si>
  <si>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</si>
  <si>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</si>
  <si>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</si>
  <si>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</si>
  <si>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</si>
  <si>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</si>
  <si>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</si>
  <si>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</si>
  <si>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</si>
  <si>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</si>
  <si>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</si>
  <si>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</si>
  <si>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</si>
  <si>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</si>
  <si>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</si>
  <si>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</si>
  <si>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</si>
  <si>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</si>
  <si>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</si>
  <si>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</si>
  <si>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</si>
  <si>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</si>
  <si>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</si>
  <si>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</si>
  <si>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</si>
  <si>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</si>
  <si>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</si>
  <si>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</si>
  <si>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</si>
  <si>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</si>
  <si>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</si>
  <si>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</si>
  <si>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</si>
  <si>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</si>
  <si>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</si>
  <si>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</si>
  <si>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</si>
  <si>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</si>
  <si>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</si>
  <si>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</si>
  <si>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</si>
  <si>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</si>
  <si>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</si>
  <si>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</si>
  <si>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</si>
  <si>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</si>
  <si>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</si>
  <si>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</si>
  <si>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</si>
  <si>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</si>
  <si>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</si>
  <si>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</si>
  <si>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</si>
  <si>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</si>
  <si>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</si>
  <si>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</si>
  <si>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</si>
  <si>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</si>
  <si>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</si>
  <si>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</si>
  <si>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</si>
  <si>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</si>
  <si>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</si>
  <si>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</si>
  <si>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</si>
  <si>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</si>
  <si>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</si>
  <si>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</si>
  <si>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</si>
  <si>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</si>
  <si>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</si>
  <si>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</si>
  <si>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</si>
  <si>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</si>
  <si>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</si>
  <si>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</si>
  <si>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</si>
  <si>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</si>
  <si>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</si>
  <si>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</si>
  <si>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</si>
  <si>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</si>
  <si>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</si>
  <si>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</si>
  <si>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</si>
  <si>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</si>
  <si>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</si>
  <si>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</si>
  <si>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</si>
  <si>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</si>
  <si>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</si>
  <si>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</si>
  <si>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</si>
  <si>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</si>
  <si>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</si>
  <si>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</si>
  <si>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</si>
  <si>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</si>
  <si>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</si>
  <si>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</si>
  <si>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</si>
  <si>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</si>
  <si>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</si>
  <si>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</si>
  <si>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</si>
  <si>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</si>
  <si>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</si>
  <si>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</si>
  <si>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</si>
  <si>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</si>
  <si>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</si>
  <si>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</si>
  <si>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</si>
  <si>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</si>
  <si>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</si>
  <si>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</si>
  <si>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</si>
  <si>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</si>
  <si>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</si>
  <si>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</si>
  <si>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</si>
  <si>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</si>
  <si>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</si>
  <si>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</si>
  <si>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</si>
  <si>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</si>
  <si>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</si>
  <si>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</si>
  <si>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</si>
  <si>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</si>
  <si>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</si>
  <si>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</si>
  <si>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</si>
  <si>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</si>
  <si>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</si>
  <si>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</si>
  <si>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</si>
  <si>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</si>
  <si>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</si>
  <si>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</si>
  <si>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</si>
  <si>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</si>
  <si>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</si>
  <si>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</si>
  <si>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</si>
  <si>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</si>
  <si>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</si>
  <si>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</si>
  <si>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</si>
  <si>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</si>
  <si>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</si>
  <si>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</si>
  <si>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</si>
  <si>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</si>
  <si>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</si>
  <si>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</si>
  <si>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</si>
  <si>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</si>
  <si>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</si>
  <si>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</si>
  <si>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</si>
  <si>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</si>
  <si>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</si>
  <si>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</si>
  <si>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</si>
  <si>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</si>
  <si>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</si>
  <si>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</si>
  <si>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</si>
  <si>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</si>
  <si>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</si>
  <si>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</si>
  <si>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</si>
  <si>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</si>
  <si>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</si>
  <si>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</si>
  <si>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</si>
  <si>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</si>
  <si>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</si>
  <si>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</si>
  <si>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</si>
  <si>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</si>
  <si>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</si>
  <si>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</si>
  <si>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</si>
  <si>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</si>
  <si>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</si>
  <si>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</si>
  <si>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</si>
  <si>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</si>
  <si>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</si>
  <si>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</si>
  <si>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</si>
  <si>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</si>
  <si>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</si>
  <si>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</si>
  <si>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</si>
  <si>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</si>
  <si>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</si>
  <si>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</si>
  <si>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</si>
  <si>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</si>
  <si>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</si>
  <si>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</si>
  <si>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</si>
  <si>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</si>
  <si>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</si>
  <si>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</si>
  <si>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</si>
  <si>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</si>
  <si>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</si>
  <si>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</si>
  <si>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</si>
  <si>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</si>
  <si>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</si>
  <si>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</si>
  <si>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</si>
  <si>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</si>
  <si>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</si>
  <si>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</si>
  <si>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</si>
  <si>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</si>
  <si>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</si>
  <si>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</si>
  <si>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</si>
  <si>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</si>
  <si>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</si>
  <si>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</si>
  <si>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</si>
  <si>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</si>
  <si>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</si>
  <si>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</si>
  <si>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</si>
  <si>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</si>
  <si>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</si>
  <si>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</si>
  <si>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</si>
  <si>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</si>
  <si>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</si>
  <si>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</si>
  <si>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</si>
  <si>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</si>
  <si>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</si>
  <si>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</si>
  <si>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</si>
  <si>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</si>
  <si>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</si>
  <si>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</si>
  <si>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</si>
  <si>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</si>
  <si>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</si>
  <si>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</si>
  <si>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</si>
  <si>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</si>
  <si>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</si>
  <si>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</si>
  <si>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</si>
  <si>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</si>
  <si>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</si>
  <si>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</si>
  <si>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</si>
  <si>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</si>
  <si>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</si>
  <si>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</si>
  <si>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</si>
  <si>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</si>
  <si>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</si>
  <si>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</si>
  <si>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</si>
  <si>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</si>
  <si>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</si>
  <si>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</si>
  <si>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</si>
  <si>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</si>
  <si>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</si>
  <si>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</si>
  <si>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</si>
  <si>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</si>
  <si>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</si>
  <si>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</si>
  <si>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</si>
  <si>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</si>
  <si>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</si>
  <si>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</si>
  <si>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</si>
  <si>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</si>
  <si>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</si>
  <si>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</si>
  <si>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</si>
  <si>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</si>
  <si>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</si>
  <si>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</si>
  <si>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</si>
  <si>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</si>
  <si>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</si>
  <si>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</si>
  <si>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</si>
  <si>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</si>
  <si>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</si>
  <si>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</si>
  <si>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</si>
  <si>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</si>
  <si>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</si>
  <si>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</si>
  <si>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</si>
  <si>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</si>
  <si>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</si>
  <si>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</si>
  <si>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</si>
  <si>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</si>
  <si>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</si>
  <si>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</si>
  <si>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</si>
  <si>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</si>
  <si>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</si>
  <si>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</si>
  <si>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</si>
  <si>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</si>
  <si>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</si>
  <si>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</si>
  <si>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</si>
  <si>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</si>
  <si>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</si>
  <si>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</si>
  <si>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</si>
  <si>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</si>
  <si>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</si>
  <si>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</si>
  <si>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</si>
  <si>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</si>
  <si>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</si>
  <si>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</si>
  <si>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</si>
  <si>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</si>
  <si>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</si>
  <si>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</si>
  <si>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</si>
  <si>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</si>
  <si>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</si>
  <si>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</si>
  <si>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</si>
  <si>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</si>
  <si>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</si>
  <si>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</si>
  <si>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</si>
  <si>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</si>
  <si>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</si>
  <si>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</si>
  <si>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</si>
  <si>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</si>
  <si>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</si>
  <si>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</si>
  <si>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</si>
  <si>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</si>
  <si>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</si>
  <si>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</si>
  <si>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</si>
  <si>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</si>
  <si>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</si>
  <si>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</si>
  <si>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</si>
  <si>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</si>
  <si>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</si>
  <si>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</si>
  <si>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</si>
  <si>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</si>
  <si>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</si>
  <si>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</si>
  <si>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</si>
  <si>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</si>
  <si>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</si>
  <si>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</si>
  <si>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</si>
  <si>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</si>
  <si>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</si>
  <si>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</si>
  <si>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</si>
  <si>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</si>
  <si>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</si>
  <si>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</si>
  <si>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</si>
  <si>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</si>
  <si>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</si>
  <si>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</si>
  <si>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</si>
  <si>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</si>
  <si>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</si>
  <si>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</si>
  <si>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</si>
  <si>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</si>
  <si>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</si>
  <si>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</si>
  <si>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</si>
  <si>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</si>
  <si>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</si>
  <si>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</si>
  <si>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</si>
  <si>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</si>
  <si>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</si>
  <si>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</si>
  <si>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</si>
  <si>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</si>
  <si>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</si>
  <si>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</si>
  <si>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</si>
  <si>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</si>
  <si>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</si>
  <si>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</si>
  <si>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</si>
  <si>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</si>
  <si>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</si>
  <si>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</si>
  <si>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</si>
  <si>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</si>
  <si>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</si>
  <si>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</si>
  <si>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</si>
  <si>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</si>
  <si>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</si>
  <si>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</si>
  <si>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</si>
  <si>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</si>
  <si>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</si>
  <si>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</si>
  <si>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</si>
  <si>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</si>
  <si>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</si>
  <si>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</si>
  <si>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</si>
  <si>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</si>
  <si>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</si>
  <si>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</si>
  <si>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</si>
  <si>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</si>
  <si>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</si>
  <si>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</si>
  <si>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</si>
  <si>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</si>
  <si>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</si>
  <si>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</si>
  <si>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</si>
  <si>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</si>
  <si>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</si>
  <si>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</si>
  <si>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</si>
  <si>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</si>
  <si>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</si>
  <si>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</si>
  <si>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</si>
  <si>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</si>
  <si>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</si>
  <si>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</si>
  <si>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</si>
  <si>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</si>
  <si>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</si>
  <si>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</si>
  <si>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</si>
  <si>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</si>
  <si>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</si>
  <si>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</si>
  <si>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</si>
  <si>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</si>
  <si>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</si>
  <si>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</si>
  <si>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</si>
  <si>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</si>
  <si>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</si>
  <si>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</si>
  <si>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</si>
  <si>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</si>
  <si>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</si>
  <si>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</si>
  <si>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</si>
  <si>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</si>
  <si>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</si>
  <si>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</si>
  <si>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</si>
  <si>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</si>
  <si>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</si>
  <si>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</si>
  <si>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</si>
  <si>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</si>
  <si>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</si>
  <si>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</si>
  <si>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</si>
  <si>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</si>
  <si>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</si>
  <si>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</si>
  <si>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</si>
  <si>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</si>
  <si>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</si>
  <si>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</si>
  <si>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</si>
  <si>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</si>
  <si>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</si>
  <si>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</si>
  <si>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</si>
  <si>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</si>
  <si>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</si>
  <si>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</si>
  <si>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</si>
  <si>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</si>
  <si>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</si>
  <si>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</si>
  <si>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</si>
  <si>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</si>
  <si>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</si>
  <si>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</si>
  <si>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</si>
  <si>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</si>
  <si>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</si>
  <si>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</si>
  <si>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</si>
  <si>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</si>
  <si>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</si>
  <si>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</si>
  <si>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</si>
  <si>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</si>
  <si>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</si>
  <si>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</si>
  <si>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</si>
  <si>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</si>
  <si>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</si>
  <si>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</si>
  <si>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</si>
  <si>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</si>
  <si>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</si>
  <si>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</si>
  <si>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</si>
  <si>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</si>
  <si>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</si>
  <si>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</si>
  <si>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</si>
  <si>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</si>
  <si>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</si>
  <si>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</si>
  <si>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</si>
  <si>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</si>
  <si>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</si>
  <si>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</si>
  <si>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</si>
  <si>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</si>
  <si>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</si>
  <si>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</si>
  <si>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</si>
  <si>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</si>
  <si>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</si>
  <si>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</si>
  <si>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</si>
  <si>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</si>
  <si>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</si>
  <si>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</si>
  <si>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</si>
  <si>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</si>
  <si>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</si>
  <si>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</si>
  <si>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</si>
  <si>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</si>
  <si>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</si>
  <si>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</si>
  <si>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</si>
  <si>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</si>
  <si>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</si>
  <si>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</si>
  <si>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</si>
  <si>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</si>
  <si>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</si>
  <si>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</si>
  <si>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</si>
  <si>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</si>
  <si>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</si>
  <si>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</si>
  <si>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</si>
  <si>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</si>
  <si>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</si>
  <si>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</si>
  <si>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</si>
  <si>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</si>
  <si>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</si>
  <si>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</si>
  <si>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</si>
  <si>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</si>
  <si>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</si>
  <si>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</si>
  <si>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</si>
  <si>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</si>
  <si>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</si>
  <si>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</si>
  <si>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</si>
  <si>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</si>
  <si>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</si>
  <si>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</si>
  <si>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</si>
  <si>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</si>
  <si>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</si>
  <si>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</si>
  <si>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</si>
  <si>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</si>
  <si>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</si>
  <si>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</si>
  <si>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</si>
  <si>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</si>
  <si>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</si>
  <si>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</si>
  <si>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</si>
  <si>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</si>
  <si>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</si>
  <si>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</si>
  <si>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</si>
  <si>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</si>
  <si>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</si>
  <si>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</si>
  <si>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</si>
  <si>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</si>
  <si>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</si>
  <si>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</si>
  <si>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</si>
  <si>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</si>
  <si>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</si>
  <si>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</si>
  <si>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</si>
  <si>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</si>
  <si>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</si>
  <si>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</si>
  <si>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</si>
  <si>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</si>
  <si>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</si>
  <si>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</si>
  <si>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</si>
  <si>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</si>
  <si>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</si>
  <si>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</si>
  <si>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</si>
  <si>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</si>
  <si>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</si>
  <si>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</si>
  <si>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</si>
  <si>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</si>
  <si>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</si>
  <si>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</si>
  <si>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</si>
  <si>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</si>
  <si>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</si>
  <si>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</si>
  <si>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</si>
  <si>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</si>
  <si>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</si>
  <si>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</si>
  <si>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</si>
  <si>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</si>
  <si>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</si>
  <si>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</si>
  <si>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</si>
  <si>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</si>
  <si>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</si>
  <si>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</si>
  <si>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</si>
  <si>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</si>
  <si>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</si>
  <si>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</si>
  <si>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</si>
  <si>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</si>
  <si>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</si>
  <si>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</si>
  <si>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</si>
  <si>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</si>
  <si>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</si>
  <si>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</si>
  <si>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</si>
  <si>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</si>
  <si>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</si>
  <si>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</si>
  <si>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</si>
  <si>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</si>
  <si>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</si>
  <si>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</si>
  <si>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</si>
  <si>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</si>
  <si>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</si>
  <si>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</si>
  <si>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</si>
  <si>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</si>
  <si>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</si>
  <si>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</si>
  <si>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</si>
  <si>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</si>
  <si>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</si>
  <si>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</si>
  <si>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</si>
  <si>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</si>
  <si>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</si>
  <si>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</si>
  <si>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</si>
  <si>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</si>
  <si>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</si>
  <si>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</si>
  <si>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</si>
  <si>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</si>
  <si>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</si>
  <si>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</si>
  <si>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</si>
  <si>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</si>
  <si>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</si>
  <si>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</si>
  <si>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</si>
  <si>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</si>
  <si>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</si>
  <si>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</si>
  <si>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</si>
  <si>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</si>
  <si>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</si>
  <si>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</si>
  <si>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</si>
  <si>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</si>
  <si>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</si>
  <si>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</si>
  <si>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</si>
  <si>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</si>
  <si>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</si>
  <si>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</si>
  <si>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</si>
  <si>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</si>
  <si>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</si>
  <si>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</si>
  <si>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</si>
  <si>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</si>
  <si>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</si>
  <si>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</si>
  <si>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</si>
  <si>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</si>
  <si>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</si>
  <si>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</si>
  <si>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</si>
  <si>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</si>
  <si>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</si>
  <si>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</si>
  <si>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</si>
  <si>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</si>
  <si>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</si>
  <si>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</si>
  <si>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</si>
  <si>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</si>
  <si>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</si>
  <si>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</si>
  <si>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</si>
  <si>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</si>
  <si>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</si>
  <si>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</si>
  <si>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</si>
  <si>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</si>
  <si>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</si>
  <si>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</si>
  <si>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</si>
  <si>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</si>
  <si>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</si>
  <si>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</si>
  <si>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</si>
  <si>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</si>
  <si>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</si>
  <si>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</si>
  <si>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</si>
  <si>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</si>
  <si>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</si>
  <si>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</si>
  <si>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</si>
  <si>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</si>
  <si>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</si>
  <si>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</si>
  <si>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</si>
  <si>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</si>
  <si>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</si>
  <si>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</si>
  <si>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</si>
  <si>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</si>
  <si>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</si>
  <si>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</si>
  <si>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</si>
  <si>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</si>
  <si>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</si>
  <si>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</si>
  <si>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</si>
  <si>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</si>
  <si>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</si>
  <si>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</si>
  <si>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</si>
  <si>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</si>
  <si>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</si>
  <si>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</si>
  <si>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</si>
  <si>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</si>
  <si>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</si>
  <si>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</si>
  <si>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</si>
  <si>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</si>
  <si>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</si>
  <si>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</si>
  <si>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</si>
  <si>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</si>
  <si>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</si>
  <si>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</si>
  <si>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</si>
  <si>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</si>
  <si>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</si>
  <si>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</si>
  <si>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</si>
  <si>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</si>
  <si>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</si>
  <si>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</si>
  <si>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</si>
  <si>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</si>
  <si>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</si>
  <si>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</si>
  <si>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</si>
  <si>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</si>
  <si>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</si>
  <si>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</si>
  <si>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</si>
  <si>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</si>
  <si>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</si>
  <si>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</si>
  <si>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</si>
  <si>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</si>
  <si>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</si>
  <si>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</si>
  <si>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</si>
  <si>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</si>
  <si>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</si>
  <si>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</si>
  <si>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</si>
  <si>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</si>
  <si>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</si>
  <si>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</si>
  <si>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</si>
  <si>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</si>
  <si>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</si>
  <si>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</si>
  <si>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</si>
  <si>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</si>
  <si>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</si>
  <si>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</si>
  <si>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</si>
  <si>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</si>
  <si>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</si>
  <si>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</si>
  <si>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</si>
  <si>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</si>
  <si>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</si>
  <si>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</si>
  <si>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</si>
  <si>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</si>
  <si>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</si>
  <si>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</si>
  <si>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</si>
  <si>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</si>
  <si>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</si>
  <si>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</si>
  <si>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</si>
  <si>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</si>
  <si>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</si>
  <si>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</si>
  <si>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</si>
  <si>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</si>
  <si>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</si>
  <si>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</si>
  <si>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</si>
  <si>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</si>
  <si>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</si>
  <si>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</si>
  <si>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</si>
  <si>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</si>
  <si>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</si>
  <si>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</si>
  <si>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</si>
  <si>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</si>
  <si>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</si>
  <si>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</si>
  <si>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</si>
  <si>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</si>
  <si>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</si>
  <si>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</si>
  <si>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</si>
  <si>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</si>
  <si>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</si>
  <si>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</si>
  <si>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</si>
  <si>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</si>
  <si>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</si>
  <si>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</si>
  <si>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</si>
  <si>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</si>
  <si>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</si>
  <si>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</si>
  <si>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</si>
  <si>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</si>
  <si>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</si>
  <si>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</si>
  <si>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</si>
  <si>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</si>
  <si>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</si>
  <si>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</si>
  <si>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</si>
  <si>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</si>
  <si>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</si>
  <si>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</si>
  <si>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</si>
  <si>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</si>
  <si>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</si>
  <si>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</si>
  <si>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</si>
  <si>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</si>
  <si>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</si>
  <si>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</si>
  <si>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</si>
  <si>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</si>
  <si>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</si>
  <si>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</si>
  <si>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</si>
  <si>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</si>
  <si>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</si>
  <si>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</si>
  <si>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</si>
  <si>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</si>
  <si>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</si>
  <si>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</si>
  <si>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</si>
  <si>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</si>
  <si>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</si>
  <si>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</si>
  <si>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</si>
  <si>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</si>
  <si>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</si>
  <si>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</si>
  <si>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</si>
  <si>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</si>
  <si>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</si>
  <si>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</si>
  <si>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</si>
  <si>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</si>
  <si>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</si>
  <si>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</si>
  <si>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</si>
  <si>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</si>
  <si>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</si>
  <si>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</si>
  <si>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</si>
  <si>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</si>
  <si>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</si>
  <si>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</si>
  <si>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</si>
  <si>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</si>
  <si>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</si>
  <si>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</si>
  <si>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</si>
  <si>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</si>
  <si>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</si>
  <si>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</si>
  <si>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</si>
  <si>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</si>
  <si>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</si>
  <si>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</si>
  <si>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</si>
  <si>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</si>
  <si>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</si>
  <si>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</si>
  <si>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</si>
  <si>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</si>
  <si>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</si>
  <si>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</si>
  <si>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</si>
  <si>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</si>
  <si>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</si>
  <si>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</si>
  <si>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</si>
  <si>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</si>
  <si>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</si>
  <si>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</si>
  <si>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</si>
  <si>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</si>
  <si>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</si>
  <si>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</si>
  <si>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</si>
  <si>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</si>
  <si>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</si>
  <si>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</si>
  <si>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</si>
  <si>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</si>
  <si>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</si>
  <si>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</si>
  <si>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</si>
  <si>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</si>
  <si>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</si>
  <si>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</si>
  <si>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</si>
  <si>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</si>
  <si>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</si>
  <si>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</si>
  <si>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</si>
  <si>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</si>
  <si>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</si>
  <si>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</si>
  <si>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</si>
  <si>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</si>
  <si>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</si>
  <si>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</si>
  <si>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</si>
  <si>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</si>
  <si>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</si>
  <si>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</si>
  <si>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</si>
  <si>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</si>
  <si>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</si>
  <si>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</si>
  <si>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</si>
  <si>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</si>
  <si>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</si>
  <si>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</si>
  <si>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</si>
  <si>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</si>
  <si>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</si>
  <si>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</si>
  <si>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</si>
  <si>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</si>
  <si>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</si>
  <si>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</si>
  <si>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</si>
  <si>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</si>
  <si>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</si>
  <si>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</si>
  <si>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</si>
  <si>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</si>
  <si>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</si>
  <si>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</si>
  <si>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</si>
  <si>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</si>
  <si>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</si>
  <si>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</si>
  <si>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</si>
  <si>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</si>
  <si>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</si>
  <si>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</si>
  <si>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</si>
  <si>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</si>
  <si>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</si>
  <si>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</si>
  <si>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</si>
  <si>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</si>
  <si>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</si>
  <si>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</si>
  <si>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</si>
  <si>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</si>
  <si>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</si>
  <si>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</si>
  <si>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</si>
  <si>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</si>
  <si>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</si>
  <si>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</si>
  <si>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</si>
  <si>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</si>
  <si>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</si>
  <si>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</si>
  <si>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</si>
  <si>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</si>
  <si>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</si>
  <si>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</si>
  <si>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</si>
  <si>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</si>
  <si>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</si>
  <si>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</si>
  <si>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</si>
  <si>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</si>
  <si>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</si>
  <si>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</si>
  <si>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</si>
  <si>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</si>
  <si>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</si>
  <si>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</si>
  <si>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</si>
  <si>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</si>
  <si>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</si>
  <si>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</si>
  <si>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</si>
  <si>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</si>
  <si>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</si>
  <si>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</si>
  <si>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</si>
  <si>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</si>
  <si>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</si>
  <si>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</si>
  <si>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</si>
  <si>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</si>
  <si>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</si>
  <si>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</si>
  <si>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</si>
  <si>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</si>
  <si>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</si>
  <si>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</si>
  <si>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</si>
  <si>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</si>
  <si>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</si>
  <si>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</si>
  <si>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</si>
  <si>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</si>
  <si>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</si>
  <si>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</si>
  <si>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</si>
  <si>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</si>
  <si>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</si>
  <si>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</si>
  <si>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</si>
  <si>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</si>
  <si>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</si>
  <si>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</si>
  <si>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</si>
  <si>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</si>
  <si>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</si>
  <si>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</si>
  <si>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</si>
  <si>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</si>
  <si>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</si>
  <si>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</si>
  <si>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</si>
  <si>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</si>
  <si>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</si>
  <si>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</si>
  <si>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</si>
  <si>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</si>
  <si>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</si>
  <si>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</si>
  <si>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</si>
  <si>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</si>
  <si>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</si>
  <si>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</si>
  <si>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</si>
  <si>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</si>
  <si>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</si>
  <si>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</si>
  <si>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</si>
  <si>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</si>
  <si>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</si>
  <si>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</si>
  <si>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</si>
  <si>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</si>
  <si>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</si>
  <si>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</si>
  <si>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</si>
  <si>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</si>
  <si>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</si>
  <si>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</si>
  <si>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</si>
  <si>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</si>
  <si>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</si>
  <si>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</si>
  <si>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</si>
  <si>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</si>
  <si>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</si>
  <si>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</si>
  <si>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</si>
  <si>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</si>
  <si>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</si>
  <si>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</si>
  <si>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</si>
  <si>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</si>
  <si>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</si>
  <si>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</si>
  <si>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</si>
  <si>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</si>
  <si>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</si>
  <si>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</si>
  <si>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</si>
  <si>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</si>
  <si>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</si>
  <si>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</si>
  <si>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</si>
  <si>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</si>
  <si>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</si>
  <si>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</si>
  <si>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</si>
  <si>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</si>
  <si>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</si>
  <si>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</si>
  <si>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</si>
  <si>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</si>
  <si>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</si>
  <si>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</si>
  <si>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</si>
  <si>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</si>
  <si>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</si>
  <si>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</si>
  <si>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</si>
  <si>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</si>
  <si>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</si>
  <si>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</si>
  <si>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</si>
  <si>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</si>
  <si>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</si>
  <si>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</si>
  <si>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</si>
  <si>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</si>
  <si>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</si>
  <si>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</si>
  <si>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</si>
  <si>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</si>
  <si>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</si>
  <si>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</si>
  <si>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</si>
  <si>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</si>
  <si>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</si>
  <si>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</si>
  <si>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</si>
  <si>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</si>
  <si>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</si>
  <si>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</si>
  <si>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</si>
  <si>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</si>
  <si>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</si>
  <si>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</si>
  <si>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</si>
  <si>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</si>
  <si>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</si>
  <si>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</si>
  <si>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</si>
  <si>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</si>
  <si>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</si>
  <si>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</si>
  <si>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</si>
  <si>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</si>
  <si>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</si>
  <si>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</si>
  <si>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</si>
  <si>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</si>
  <si>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</si>
  <si>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</si>
  <si>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</si>
  <si>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</si>
  <si>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</si>
  <si>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</si>
  <si>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</si>
  <si>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</si>
  <si>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</si>
  <si>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</si>
  <si>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</si>
  <si>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</si>
  <si>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</si>
  <si>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</si>
  <si>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</si>
  <si>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</si>
  <si>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</si>
  <si>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</si>
  <si>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</si>
  <si>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</si>
  <si>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</si>
  <si>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</si>
  <si>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</si>
  <si>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</si>
  <si>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</si>
  <si>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</si>
  <si>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</si>
  <si>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</si>
  <si>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</si>
  <si>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</si>
  <si>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</si>
  <si>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</si>
  <si>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</si>
  <si>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</si>
  <si>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</si>
  <si>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</si>
  <si>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</si>
  <si>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</si>
  <si>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</si>
  <si>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</si>
  <si>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</si>
  <si>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</si>
  <si>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</si>
  <si>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</si>
  <si>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</si>
  <si>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</si>
  <si>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</si>
  <si>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</si>
  <si>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</si>
  <si>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</si>
  <si>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</si>
  <si>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</si>
  <si>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</si>
  <si>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</si>
  <si>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</si>
  <si>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</si>
  <si>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</si>
  <si>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</si>
  <si>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</si>
  <si>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</si>
  <si>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</si>
  <si>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</si>
  <si>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</si>
  <si>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</si>
  <si>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</si>
  <si>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</si>
  <si>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</si>
  <si>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</si>
  <si>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</si>
  <si>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</si>
  <si>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</si>
  <si>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</si>
  <si>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</si>
  <si>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</si>
  <si>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</si>
  <si>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</si>
  <si>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</si>
  <si>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</si>
  <si>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</si>
  <si>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</si>
  <si>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</si>
  <si>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</si>
  <si>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</si>
  <si>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</si>
  <si>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</si>
  <si>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</si>
  <si>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</si>
  <si>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</si>
  <si>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</si>
  <si>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</si>
  <si>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</si>
  <si>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</si>
  <si>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</si>
  <si>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</si>
  <si>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</si>
  <si>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</si>
  <si>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</si>
  <si>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</si>
  <si>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</si>
  <si>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</si>
  <si>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</si>
  <si>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</si>
  <si>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</si>
  <si>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</si>
  <si>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</si>
  <si>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</si>
  <si>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</si>
  <si>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</si>
  <si>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</si>
  <si>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</si>
  <si>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</si>
  <si>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</si>
  <si>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</si>
  <si>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</si>
  <si>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</si>
  <si>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</si>
  <si>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</si>
  <si>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</si>
  <si>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</si>
  <si>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</si>
  <si>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</si>
  <si>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</si>
  <si>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</si>
  <si>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</si>
  <si>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</si>
  <si>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</si>
  <si>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</si>
  <si>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</si>
  <si>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</si>
  <si>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</si>
  <si>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</si>
  <si>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</si>
  <si>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</si>
  <si>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</si>
  <si>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</si>
  <si>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</si>
  <si>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</si>
  <si>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</si>
  <si>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</si>
  <si>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</si>
  <si>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</si>
  <si>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</si>
  <si>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</si>
  <si>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</si>
  <si>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</si>
  <si>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</si>
  <si>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</si>
  <si>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</si>
  <si>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</si>
  <si>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</si>
  <si>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</si>
  <si>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</si>
  <si>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</si>
  <si>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</si>
  <si>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</si>
  <si>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</si>
  <si>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</si>
  <si>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</si>
  <si>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</si>
  <si>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</si>
  <si>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</si>
  <si>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</si>
  <si>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</si>
  <si>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</si>
  <si>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</si>
  <si>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</si>
  <si>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</si>
  <si>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</si>
  <si>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</si>
  <si>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</si>
  <si>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</si>
  <si>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</si>
  <si>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</si>
  <si>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</si>
  <si>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</si>
  <si>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</si>
  <si>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</si>
  <si>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</si>
  <si>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</si>
  <si>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</si>
  <si>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</si>
  <si>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</si>
  <si>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</si>
  <si>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</si>
  <si>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</si>
  <si>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</si>
  <si>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</si>
  <si>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</si>
  <si>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</si>
  <si>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</si>
  <si>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</si>
  <si>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</si>
  <si>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</si>
  <si>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</si>
  <si>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</si>
  <si>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</si>
  <si>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</si>
  <si>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</si>
  <si>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</si>
  <si>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</si>
  <si>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</si>
  <si>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</si>
  <si>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</si>
  <si>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</si>
  <si>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</si>
  <si>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</si>
  <si>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</si>
  <si>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</si>
  <si>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</si>
  <si>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</si>
  <si>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</si>
  <si>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</si>
  <si>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</si>
  <si>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</si>
  <si>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</si>
  <si>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</si>
  <si>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</si>
  <si>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</si>
  <si>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</si>
  <si>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</si>
  <si>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</si>
  <si>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</si>
  <si>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</si>
  <si>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</si>
  <si>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</si>
  <si>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</si>
  <si>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</si>
  <si>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</si>
  <si>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</si>
  <si>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</si>
  <si>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</si>
  <si>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</si>
  <si>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</si>
  <si>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</si>
  <si>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</si>
  <si>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</si>
  <si>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</si>
  <si>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</si>
  <si>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</si>
  <si>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</si>
  <si>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</si>
  <si>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</si>
  <si>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</si>
  <si>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</si>
  <si>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</si>
  <si>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</si>
  <si>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</si>
  <si>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</si>
  <si>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</si>
  <si>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</si>
  <si>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</si>
  <si>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</si>
  <si>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</si>
  <si>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</si>
  <si>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</si>
  <si>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</si>
  <si>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</si>
  <si>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</si>
  <si>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</si>
  <si>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</si>
  <si>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</si>
  <si>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</si>
  <si>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</si>
  <si>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</si>
  <si>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</si>
  <si>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</si>
  <si>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</si>
  <si>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</si>
  <si>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</si>
  <si>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</si>
  <si>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</si>
  <si>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</si>
  <si>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</si>
  <si>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</si>
  <si>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</si>
  <si>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</si>
  <si>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</si>
  <si>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</si>
  <si>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</si>
  <si>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</si>
  <si>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</si>
  <si>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</si>
  <si>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</si>
  <si>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</si>
  <si>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</si>
  <si>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</si>
  <si>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</si>
  <si>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</si>
  <si>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</si>
  <si>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</si>
  <si>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</si>
  <si>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</si>
  <si>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</si>
  <si>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</si>
  <si>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</si>
  <si>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</si>
  <si>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</si>
  <si>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</si>
  <si>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</si>
  <si>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</si>
  <si>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</si>
  <si>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</si>
  <si>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</si>
  <si>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</si>
  <si>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</si>
  <si>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</si>
  <si>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</si>
  <si>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</si>
  <si>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</si>
  <si>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</si>
  <si>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</si>
  <si>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</si>
  <si>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</si>
  <si>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</si>
  <si>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</si>
  <si>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</si>
  <si>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</si>
  <si>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</si>
  <si>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</si>
  <si>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</si>
  <si>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</si>
  <si>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</si>
  <si>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</si>
  <si>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</si>
  <si>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</si>
  <si>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</si>
  <si>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</si>
  <si>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</si>
  <si>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</si>
  <si>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</si>
  <si>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</si>
  <si>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</si>
  <si>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</si>
  <si>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</si>
  <si>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</si>
  <si>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</si>
  <si>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</si>
  <si>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</si>
  <si>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</si>
  <si>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</si>
  <si>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</si>
  <si>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</si>
  <si>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</si>
  <si>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</si>
  <si>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</si>
  <si>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</si>
  <si>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</si>
  <si>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</si>
  <si>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</si>
  <si>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</si>
  <si>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</si>
  <si>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</si>
  <si>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</si>
  <si>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</si>
  <si>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</si>
  <si>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</si>
  <si>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</si>
  <si>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</si>
  <si>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</si>
  <si>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</si>
  <si>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</si>
  <si>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</si>
  <si>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</si>
  <si>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</si>
  <si>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</si>
  <si>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</si>
  <si>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</si>
  <si>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</si>
  <si>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</si>
  <si>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</si>
  <si>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</si>
  <si>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</si>
  <si>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</si>
  <si>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</si>
  <si>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</si>
  <si>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</si>
  <si>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</si>
  <si>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</si>
  <si>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</si>
  <si>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</si>
  <si>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</si>
  <si>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</si>
  <si>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</si>
  <si>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</si>
  <si>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</si>
  <si>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</si>
  <si>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</si>
  <si>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</si>
  <si>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</si>
  <si>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</si>
  <si>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</si>
  <si>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</si>
  <si>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</si>
  <si>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</si>
  <si>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</si>
  <si>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</si>
  <si>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</si>
  <si>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</si>
  <si>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</si>
  <si>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</si>
  <si>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</si>
  <si>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</si>
  <si>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</si>
  <si>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</si>
  <si>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</si>
  <si>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</si>
  <si>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</si>
  <si>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</si>
  <si>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</si>
  <si>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</si>
  <si>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</si>
  <si>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</si>
  <si>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</si>
  <si>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</si>
  <si>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</si>
  <si>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</si>
  <si>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</si>
  <si>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</si>
  <si>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</si>
  <si>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</si>
  <si>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</si>
  <si>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</si>
  <si>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</si>
  <si>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</si>
  <si>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</si>
  <si>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</si>
  <si>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</si>
  <si>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</si>
  <si>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</si>
  <si>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</si>
  <si>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</si>
  <si>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</si>
  <si>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</si>
  <si>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</si>
  <si>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</si>
  <si>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</si>
  <si>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</si>
  <si>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</si>
  <si>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</si>
  <si>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</si>
  <si>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</si>
  <si>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</si>
  <si>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</si>
  <si>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</si>
  <si>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</si>
  <si>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</si>
  <si>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</si>
  <si>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</si>
  <si>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</si>
  <si>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</si>
  <si>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</si>
  <si>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</si>
  <si>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</si>
  <si>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</si>
  <si>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</si>
  <si>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</si>
  <si>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</si>
  <si>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</si>
  <si>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</si>
  <si>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</si>
  <si>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</si>
  <si>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</si>
  <si>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</si>
  <si>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</si>
  <si>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</si>
  <si>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</si>
  <si>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</si>
  <si>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</si>
  <si>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</si>
  <si>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</si>
  <si>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</si>
  <si>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</si>
  <si>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</si>
  <si>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</si>
  <si>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</si>
  <si>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</si>
  <si>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</si>
  <si>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</si>
  <si>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</si>
  <si>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</si>
  <si>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</si>
  <si>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</si>
  <si>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</si>
  <si>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</si>
  <si>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</si>
  <si>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</si>
  <si>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</si>
  <si>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</si>
  <si>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</si>
  <si>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</si>
  <si>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</si>
  <si>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</si>
  <si>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</si>
  <si>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</si>
  <si>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</si>
  <si>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</si>
  <si>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</si>
  <si>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</si>
  <si>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</si>
  <si>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</si>
  <si>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</si>
  <si>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</si>
  <si>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</si>
  <si>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</si>
  <si>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</si>
  <si>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</si>
  <si>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</si>
  <si>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</si>
  <si>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</si>
  <si>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</si>
  <si>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</si>
  <si>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</si>
  <si>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</si>
  <si>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</si>
  <si>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</si>
  <si>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</si>
  <si>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</si>
  <si>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</si>
  <si>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</si>
  <si>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</si>
  <si>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</si>
  <si>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</si>
  <si>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</si>
  <si>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</si>
  <si>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</si>
  <si>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</si>
  <si>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</si>
  <si>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</si>
  <si>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</si>
  <si>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</si>
  <si>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</si>
  <si>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</si>
  <si>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</si>
  <si>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</si>
  <si>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</si>
  <si>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</si>
  <si>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</si>
  <si>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</si>
  <si>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</si>
  <si>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</si>
  <si>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</si>
  <si>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</si>
  <si>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</si>
  <si>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</si>
  <si>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</si>
  <si>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</si>
  <si>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</si>
  <si>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</si>
  <si>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</si>
  <si>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</si>
  <si>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</si>
  <si>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</si>
  <si>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</si>
  <si>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</si>
  <si>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</si>
  <si>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</si>
  <si>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</si>
  <si>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</si>
  <si>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</si>
  <si>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</si>
  <si>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</si>
  <si>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</si>
  <si>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</si>
  <si>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</si>
  <si>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</si>
  <si>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</si>
  <si>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</si>
  <si>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</si>
  <si>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</si>
  <si>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</si>
  <si>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</si>
  <si>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</si>
  <si>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</si>
  <si>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</si>
  <si>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</si>
  <si>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</si>
  <si>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</si>
  <si>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</si>
  <si>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</si>
  <si>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</si>
  <si>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</si>
  <si>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</si>
  <si>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</si>
  <si>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</si>
  <si>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</si>
  <si>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</si>
  <si>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</si>
  <si>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</si>
  <si>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</si>
  <si>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</si>
  <si>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</si>
  <si>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</si>
  <si>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</si>
  <si>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</si>
  <si>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</si>
  <si>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</si>
  <si>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</si>
  <si>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</si>
  <si>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</si>
  <si>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</si>
  <si>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</si>
  <si>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</si>
  <si>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</si>
  <si>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</si>
  <si>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</si>
  <si>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</si>
  <si>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</si>
  <si>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</si>
  <si>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</si>
  <si>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</si>
  <si>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</si>
  <si>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</si>
  <si>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</si>
  <si>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</si>
  <si>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</si>
  <si>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</si>
  <si>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</si>
  <si>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</si>
  <si>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</si>
  <si>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</si>
  <si>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</si>
  <si>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</si>
  <si>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</si>
  <si>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</si>
  <si>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</si>
  <si>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</si>
  <si>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</si>
  <si>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</si>
  <si>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</si>
  <si>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</si>
  <si>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</si>
  <si>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</si>
  <si>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</si>
  <si>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</si>
  <si>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</si>
  <si>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</si>
  <si>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</si>
  <si>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</si>
  <si>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</si>
  <si>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</si>
  <si>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</si>
  <si>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</si>
  <si>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</si>
  <si>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</si>
  <si>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</si>
  <si>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</si>
  <si>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</si>
  <si>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</si>
  <si>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</si>
  <si>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</si>
  <si>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</si>
  <si>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</si>
  <si>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</si>
  <si>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</si>
  <si>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</si>
  <si>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</si>
  <si>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</si>
  <si>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</si>
  <si>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</si>
  <si>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</si>
  <si>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</si>
  <si>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</si>
  <si>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</si>
  <si>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</si>
  <si>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</si>
  <si>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</si>
  <si>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</si>
  <si>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</si>
  <si>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</si>
  <si>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</si>
  <si>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</si>
  <si>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</si>
  <si>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</si>
  <si>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</si>
  <si>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</si>
  <si>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</si>
  <si>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</si>
  <si>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</si>
  <si>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</si>
  <si>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</si>
  <si>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</si>
  <si>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</si>
  <si>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</si>
  <si>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</si>
  <si>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</si>
  <si>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</si>
  <si>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</si>
  <si>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</si>
  <si>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</si>
  <si>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</si>
  <si>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</si>
  <si>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</si>
  <si>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</si>
  <si>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</si>
  <si>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</si>
  <si>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</si>
  <si>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</si>
  <si>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</si>
  <si>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</si>
  <si>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</si>
  <si>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</si>
  <si>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</si>
  <si>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</si>
  <si>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</si>
  <si>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</si>
  <si>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</si>
  <si>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</si>
  <si>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</si>
  <si>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</si>
  <si>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</si>
  <si>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</si>
  <si>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</si>
  <si>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</si>
  <si>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</si>
  <si>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</si>
  <si>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</si>
  <si>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</si>
  <si>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</si>
  <si>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</si>
  <si>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</si>
  <si>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</si>
  <si>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</si>
  <si>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</si>
  <si>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</si>
  <si>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</si>
  <si>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</si>
  <si>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</si>
  <si>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</si>
  <si>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</si>
  <si>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</si>
  <si>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</si>
  <si>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</si>
  <si>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</si>
  <si>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</si>
  <si>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</si>
  <si>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</si>
  <si>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</si>
  <si>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</si>
  <si>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</si>
  <si>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</si>
  <si>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</si>
  <si>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</si>
  <si>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</si>
  <si>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</si>
  <si>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</si>
  <si>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</si>
  <si>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</si>
  <si>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</si>
  <si>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</si>
  <si>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</si>
  <si>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</si>
  <si>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</si>
  <si>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</si>
  <si>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</si>
  <si>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</si>
  <si>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</si>
  <si>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</si>
  <si>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</si>
  <si>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</si>
  <si>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</si>
  <si>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</si>
  <si>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</si>
  <si>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</si>
  <si>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</si>
  <si>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</si>
  <si>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</si>
  <si>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</si>
  <si>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</si>
  <si>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</si>
  <si>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</si>
  <si>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</si>
  <si>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</si>
  <si>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</si>
  <si>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</si>
  <si>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</si>
  <si>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</si>
  <si>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</si>
  <si>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</si>
  <si>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</si>
  <si>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</si>
  <si>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</si>
  <si>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</si>
  <si>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</si>
  <si>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</si>
  <si>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</si>
  <si>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</si>
  <si>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</si>
  <si>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</si>
  <si>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</si>
  <si>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</si>
  <si>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</si>
  <si>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</si>
  <si>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</si>
  <si>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</si>
  <si>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</si>
  <si>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</si>
  <si>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</si>
  <si>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</si>
  <si>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</si>
  <si>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</si>
  <si>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</si>
  <si>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</si>
  <si>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</si>
  <si>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</si>
  <si>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</si>
  <si>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</si>
  <si>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</si>
  <si>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</si>
  <si>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</si>
  <si>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</si>
  <si>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</si>
  <si>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</si>
  <si>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</si>
  <si>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</si>
  <si>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</si>
  <si>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</si>
  <si>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</si>
  <si>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</si>
  <si>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</si>
  <si>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</si>
  <si>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</si>
  <si>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</si>
  <si>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</si>
  <si>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</si>
  <si>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</si>
  <si>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</si>
  <si>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</si>
  <si>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</si>
  <si>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</si>
  <si>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</si>
  <si>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</si>
  <si>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</si>
  <si>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</si>
  <si>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</si>
  <si>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</si>
  <si>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</si>
  <si>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</si>
  <si>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</si>
  <si>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</si>
  <si>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</si>
  <si>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</si>
  <si>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</si>
  <si>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</si>
  <si>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</si>
  <si>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</si>
  <si>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</si>
  <si>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</si>
  <si>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</si>
  <si>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</si>
  <si>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</si>
  <si>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</si>
  <si>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</si>
  <si>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</si>
  <si>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</si>
  <si>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</si>
  <si>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</si>
  <si>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</si>
  <si>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</si>
  <si>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</si>
  <si>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</si>
  <si>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</si>
  <si>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</si>
  <si>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</si>
  <si>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</si>
  <si>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</si>
  <si>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</si>
  <si>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</si>
  <si>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</si>
  <si>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</si>
  <si>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</si>
  <si>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</si>
  <si>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</si>
  <si>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</si>
  <si>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</si>
  <si>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</si>
  <si>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</si>
  <si>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</si>
  <si>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</si>
  <si>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</si>
  <si>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</si>
  <si>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</si>
  <si>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</si>
  <si>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</si>
  <si>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</si>
  <si>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</si>
  <si>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</si>
  <si>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</si>
  <si>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</si>
  <si>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</si>
  <si>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</si>
  <si>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</si>
  <si>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</si>
  <si>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</si>
  <si>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</si>
  <si>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</si>
  <si>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</si>
  <si>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</si>
  <si>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</si>
  <si>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</si>
  <si>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</si>
  <si>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</si>
  <si>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</si>
  <si>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</si>
  <si>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</si>
  <si>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</si>
  <si>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</si>
  <si>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</si>
  <si>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</si>
  <si>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</si>
  <si>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</si>
  <si>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</si>
  <si>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</si>
  <si>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</si>
  <si>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</si>
  <si>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</si>
  <si>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</si>
  <si>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</si>
  <si>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</si>
  <si>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</si>
  <si>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</si>
  <si>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</si>
  <si>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</si>
  <si>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</si>
  <si>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</si>
  <si>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</si>
  <si>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</si>
  <si>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</si>
  <si>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</si>
  <si>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</si>
  <si>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</si>
  <si>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</si>
  <si>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</si>
  <si>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</si>
  <si>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</si>
  <si>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</si>
  <si>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</si>
  <si>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</si>
  <si>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</si>
  <si>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</si>
  <si>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</si>
  <si>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</si>
  <si>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</si>
  <si>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</si>
  <si>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</si>
  <si>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</si>
  <si>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</si>
  <si>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</si>
  <si>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</si>
  <si>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</si>
  <si>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</si>
  <si>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</si>
  <si>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</si>
  <si>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</si>
  <si>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</si>
  <si>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</si>
  <si>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</si>
  <si>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</si>
  <si>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</si>
  <si>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</si>
  <si>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</si>
  <si>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</si>
  <si>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</si>
  <si>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</si>
  <si>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</si>
  <si>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</si>
  <si>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</si>
  <si>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</si>
  <si>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</si>
  <si>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</si>
  <si>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</si>
  <si>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</si>
  <si>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</si>
  <si>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</si>
  <si>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</si>
  <si>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</si>
  <si>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</si>
  <si>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</si>
  <si>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</si>
  <si>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</si>
  <si>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</si>
  <si>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</si>
  <si>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</si>
  <si>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</si>
  <si>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</si>
  <si>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</si>
  <si>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</si>
  <si>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</si>
  <si>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</si>
  <si>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</si>
  <si>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</si>
  <si>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</si>
  <si>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</si>
  <si>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</si>
  <si>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</si>
  <si>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</si>
  <si>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</si>
  <si>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</si>
  <si>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</si>
  <si>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</si>
  <si>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</si>
  <si>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</si>
  <si>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</si>
  <si>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</si>
  <si>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</si>
  <si>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</si>
  <si>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</si>
  <si>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</si>
  <si>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</si>
  <si>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</si>
  <si>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</si>
  <si>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</si>
  <si>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</si>
  <si>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</si>
  <si>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</si>
  <si>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</si>
  <si>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</si>
  <si>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</si>
  <si>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</si>
  <si>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</si>
  <si>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</si>
  <si>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</si>
  <si>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</si>
  <si>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</si>
  <si>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</si>
  <si>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</si>
  <si>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</si>
  <si>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</si>
  <si>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</si>
  <si>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</si>
  <si>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</si>
  <si>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</si>
  <si>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</si>
  <si>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</si>
  <si>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</si>
  <si>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</si>
  <si>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</si>
  <si>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</si>
  <si>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</si>
  <si>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</si>
  <si>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</si>
  <si>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</si>
  <si>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</si>
  <si>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</si>
  <si>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</si>
  <si>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</si>
  <si>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</si>
  <si>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</si>
  <si>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</si>
  <si>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</si>
  <si>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</si>
  <si>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</si>
  <si>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</si>
  <si>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</si>
  <si>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</si>
  <si>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</si>
  <si>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</si>
  <si>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</si>
  <si>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</si>
  <si>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</si>
  <si>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</si>
  <si>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</si>
  <si>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</si>
  <si>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</si>
  <si>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</si>
  <si>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</si>
  <si>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</si>
  <si>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</si>
  <si>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</si>
  <si>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</si>
  <si>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</si>
  <si>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</si>
  <si>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</si>
  <si>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</si>
  <si>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</si>
  <si>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</si>
  <si>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</si>
  <si>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</si>
  <si>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</si>
  <si>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</si>
  <si>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</si>
  <si>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</si>
  <si>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</si>
  <si>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</si>
  <si>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</si>
  <si>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</si>
  <si>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</si>
  <si>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</si>
  <si>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</si>
  <si>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</si>
  <si>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</si>
  <si>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</si>
  <si>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</si>
  <si>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</si>
  <si>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</si>
  <si>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</si>
  <si>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</si>
  <si>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</si>
  <si>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</si>
  <si>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</si>
  <si>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</si>
  <si>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</si>
  <si>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</si>
  <si>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</si>
  <si>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</si>
  <si>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</si>
  <si>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</si>
  <si>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</si>
  <si>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</si>
  <si>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</si>
  <si>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</si>
  <si>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</si>
  <si>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</si>
  <si>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</si>
  <si>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</si>
  <si>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</si>
  <si>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</si>
  <si>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</si>
  <si>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</si>
  <si>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</si>
  <si>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</si>
  <si>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</si>
  <si>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</si>
  <si>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</si>
  <si>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</si>
  <si>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</si>
  <si>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</si>
  <si>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</si>
  <si>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</si>
  <si>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</si>
  <si>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</si>
  <si>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</si>
  <si>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</si>
  <si>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</si>
  <si>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</si>
  <si>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</si>
  <si>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</si>
  <si>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</si>
  <si>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</si>
  <si>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</si>
  <si>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</si>
  <si>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</si>
  <si>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</si>
  <si>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</si>
  <si>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</si>
  <si>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</si>
  <si>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</si>
  <si>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</si>
  <si>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</si>
  <si>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</si>
  <si>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</si>
  <si>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</si>
  <si>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</si>
  <si>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</si>
  <si>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</si>
  <si>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</si>
  <si>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</si>
  <si>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</si>
  <si>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</si>
  <si>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</si>
  <si>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</si>
  <si>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</si>
  <si>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</si>
  <si>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</si>
  <si>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</si>
  <si>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</si>
  <si>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</si>
  <si>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</si>
  <si>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</si>
  <si>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</si>
  <si>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</si>
  <si>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</si>
  <si>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</si>
  <si>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</si>
  <si>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</si>
  <si>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</si>
  <si>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</si>
  <si>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</si>
  <si>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</si>
  <si>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</si>
  <si>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</si>
  <si>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</si>
  <si>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</si>
  <si>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</si>
  <si>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</si>
  <si>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</si>
  <si>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</si>
  <si>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</si>
  <si>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</si>
  <si>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</si>
  <si>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</si>
  <si>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</si>
  <si>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</si>
  <si>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</si>
  <si>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</si>
  <si>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</si>
  <si>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</si>
  <si>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</si>
  <si>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</si>
  <si>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</si>
  <si>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</si>
  <si>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</si>
  <si>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</si>
  <si>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</si>
  <si>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</si>
  <si>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</si>
  <si>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</si>
  <si>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</si>
  <si>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</si>
  <si>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</si>
  <si>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</si>
  <si>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</si>
  <si>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</si>
  <si>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</si>
  <si>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</si>
  <si>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</si>
  <si>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</si>
  <si>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</si>
  <si>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</si>
  <si>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</si>
  <si>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</si>
  <si>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</si>
  <si>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</si>
  <si>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</si>
  <si>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</si>
  <si>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</si>
  <si>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</si>
  <si>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</si>
  <si>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</si>
  <si>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</si>
  <si>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</si>
  <si>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</si>
  <si>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</si>
  <si>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</si>
  <si>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</si>
  <si>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</si>
  <si>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</si>
  <si>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</si>
  <si>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</si>
  <si>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</si>
  <si>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</si>
  <si>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</si>
  <si>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</si>
  <si>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</si>
  <si>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</si>
  <si>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</si>
  <si>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</si>
  <si>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</si>
  <si>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</si>
  <si>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</si>
  <si>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</si>
  <si>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</si>
  <si>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</si>
  <si>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</si>
  <si>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</si>
  <si>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</si>
  <si>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</si>
  <si>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</si>
  <si>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</si>
  <si>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</si>
  <si>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</si>
  <si>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</si>
  <si>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</si>
  <si>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</si>
  <si>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</si>
  <si>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</si>
  <si>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</si>
  <si>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</si>
  <si>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</si>
  <si>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</si>
  <si>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</si>
  <si>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</si>
  <si>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</si>
  <si>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</si>
  <si>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</si>
  <si>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</si>
  <si>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</si>
  <si>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</si>
  <si>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</si>
  <si>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</si>
  <si>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</si>
  <si>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</si>
  <si>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</si>
  <si>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</si>
  <si>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</si>
  <si>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</si>
  <si>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</si>
  <si>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</si>
  <si>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</si>
  <si>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</si>
  <si>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</si>
  <si>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</si>
  <si>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</si>
  <si>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</si>
  <si>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</si>
  <si>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</si>
  <si>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</si>
  <si>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</si>
  <si>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</si>
  <si>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</si>
  <si>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</si>
  <si>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</si>
  <si>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</si>
  <si>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</si>
  <si>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</si>
  <si>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</si>
  <si>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</si>
  <si>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</si>
  <si>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</si>
  <si>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</si>
  <si>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</si>
  <si>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</si>
  <si>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</si>
  <si>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</si>
  <si>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</si>
  <si>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</si>
  <si>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</si>
  <si>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</si>
  <si>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</si>
  <si>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</si>
  <si>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</si>
  <si>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</si>
  <si>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</si>
  <si>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</si>
  <si>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</si>
  <si>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</si>
  <si>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</si>
  <si>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</si>
  <si>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</si>
  <si>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</si>
  <si>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</si>
  <si>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</si>
  <si>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</si>
  <si>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</si>
  <si>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</si>
  <si>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</si>
  <si>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</si>
  <si>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</si>
  <si>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</si>
  <si>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</si>
  <si>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</si>
  <si>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</si>
  <si>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</si>
  <si>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</si>
  <si>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</si>
  <si>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</si>
  <si>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</si>
  <si>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</si>
  <si>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</si>
  <si>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</si>
  <si>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</si>
  <si>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</si>
  <si>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</si>
  <si>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</si>
  <si>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</si>
  <si>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</si>
  <si>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</si>
  <si>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</si>
  <si>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</si>
  <si>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</si>
  <si>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</si>
  <si>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</si>
  <si>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</si>
  <si>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</si>
  <si>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</si>
  <si>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</si>
  <si>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</si>
  <si>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</si>
  <si>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</si>
  <si>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</si>
  <si>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</si>
  <si>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</si>
  <si>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</si>
  <si>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</si>
  <si>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</si>
  <si>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</si>
  <si>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</si>
  <si>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</si>
  <si>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</si>
  <si>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</si>
  <si>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</si>
  <si>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</si>
  <si>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</si>
  <si>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</si>
  <si>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</si>
  <si>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</si>
  <si>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</si>
  <si>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</si>
  <si>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</si>
  <si>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</si>
  <si>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</si>
  <si>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</si>
  <si>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</si>
  <si>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</si>
  <si>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</si>
  <si>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</si>
  <si>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</si>
  <si>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</si>
  <si>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</si>
  <si>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</si>
  <si>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</si>
  <si>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</si>
  <si>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</si>
  <si>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</si>
  <si>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</si>
  <si>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</si>
  <si>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</si>
  <si>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</si>
  <si>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</si>
  <si>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</si>
  <si>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</si>
  <si>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</si>
  <si>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</si>
  <si>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</si>
  <si>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</si>
  <si>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</si>
  <si>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</si>
  <si>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</si>
  <si>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</si>
  <si>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</si>
  <si>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</si>
  <si>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</si>
  <si>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</si>
  <si>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</si>
  <si>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</si>
  <si>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</si>
  <si>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</si>
  <si>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</si>
  <si>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</si>
  <si>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</si>
  <si>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</si>
  <si>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</si>
  <si>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</si>
  <si>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</si>
  <si>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</si>
  <si>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</si>
  <si>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</si>
  <si>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</si>
  <si>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</si>
  <si>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</si>
  <si>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</si>
  <si>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</si>
  <si>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</si>
  <si>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</si>
  <si>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</si>
  <si>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</si>
  <si>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</si>
  <si>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</si>
  <si>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</si>
  <si>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</si>
  <si>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</si>
  <si>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</si>
  <si>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</si>
  <si>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</si>
  <si>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</si>
  <si>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</si>
  <si>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</si>
  <si>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</si>
  <si>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</si>
  <si>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</si>
  <si>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</si>
  <si>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</si>
  <si>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</si>
  <si>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</si>
  <si>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</si>
  <si>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</si>
  <si>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</si>
  <si>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</si>
  <si>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</si>
  <si>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</si>
  <si>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</si>
  <si>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</si>
  <si>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</si>
  <si>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</si>
  <si>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</si>
  <si>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</si>
  <si>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</si>
  <si>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</si>
  <si>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</si>
  <si>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</si>
  <si>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</si>
  <si>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</si>
  <si>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</si>
  <si>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</si>
  <si>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</si>
  <si>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</si>
  <si>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</si>
  <si>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</si>
  <si>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</si>
  <si>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</si>
  <si>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</si>
  <si>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</si>
  <si>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</si>
  <si>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</si>
  <si>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</si>
  <si>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</si>
  <si>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</si>
  <si>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</si>
  <si>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</si>
  <si>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</si>
  <si>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</si>
  <si>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</si>
  <si>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</si>
  <si>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</si>
  <si>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</si>
  <si>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</si>
  <si>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</si>
  <si>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</si>
  <si>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</si>
  <si>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</si>
  <si>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</si>
  <si>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</si>
  <si>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</si>
  <si>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</si>
  <si>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</si>
  <si>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</si>
  <si>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</si>
  <si>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</si>
  <si>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</si>
  <si>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</si>
  <si>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</si>
  <si>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</si>
  <si>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</si>
  <si>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</si>
  <si>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</si>
  <si>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</si>
  <si>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</si>
  <si>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</si>
  <si>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</si>
  <si>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</si>
  <si>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</si>
  <si>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</si>
  <si>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</si>
  <si>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</si>
  <si>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</si>
  <si>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</si>
  <si>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</si>
  <si>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</si>
  <si>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</si>
  <si>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</si>
  <si>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</si>
  <si>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</si>
  <si>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</si>
  <si>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</si>
  <si>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</si>
  <si>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</si>
  <si>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</si>
  <si>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</si>
  <si>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</si>
  <si>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</si>
  <si>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</si>
  <si>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</si>
  <si>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</si>
  <si>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</si>
  <si>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</si>
  <si>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</si>
  <si>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</si>
  <si>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</si>
  <si>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</si>
  <si>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</si>
  <si>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</si>
  <si>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</si>
  <si>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</si>
  <si>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</si>
  <si>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</si>
  <si>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</si>
  <si>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</si>
  <si>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</si>
  <si>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</si>
  <si>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</si>
  <si>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</si>
  <si>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</si>
  <si>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</si>
  <si>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</si>
  <si>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</si>
  <si>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</si>
  <si>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</si>
  <si>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</si>
  <si>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</si>
  <si>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</si>
  <si>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</si>
  <si>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</si>
  <si>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</si>
  <si>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</si>
  <si>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</si>
  <si>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</si>
  <si>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</si>
  <si>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</si>
  <si>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</si>
  <si>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</si>
  <si>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</si>
  <si>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</si>
  <si>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</si>
  <si>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</si>
  <si>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</si>
  <si>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</si>
  <si>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</si>
  <si>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</si>
  <si>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</si>
  <si>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</si>
  <si>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</si>
  <si>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</si>
  <si>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</si>
  <si>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</si>
  <si>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</si>
  <si>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</si>
  <si>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</si>
  <si>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</si>
  <si>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</si>
  <si>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</si>
  <si>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</si>
  <si>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</si>
  <si>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</si>
  <si>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</si>
  <si>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</si>
  <si>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</si>
  <si>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</si>
  <si>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</si>
  <si>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</si>
  <si>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</si>
  <si>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</si>
  <si>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</si>
  <si>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</si>
  <si>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</si>
  <si>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</si>
  <si>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</si>
  <si>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</si>
  <si>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</si>
  <si>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</si>
  <si>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</si>
  <si>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</si>
  <si>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地上</t>
  </si>
  <si>
    <t>地下</t>
  </si>
  <si>
    <t>车库—商业</t>
  </si>
  <si>
    <t>商铺部分</t>
    <phoneticPr fontId="140" type="noConversion"/>
  </si>
  <si>
    <t>写字楼部分</t>
    <phoneticPr fontId="140" type="noConversion"/>
  </si>
  <si>
    <t>房屋权证号</t>
  </si>
  <si>
    <t>坐落</t>
  </si>
  <si>
    <t>建筑面积（㎡）</t>
  </si>
  <si>
    <t>物业类别</t>
  </si>
  <si>
    <t xml:space="preserve">物业类型 </t>
  </si>
  <si>
    <t>楼层</t>
  </si>
  <si>
    <t>建筑面积</t>
  </si>
  <si>
    <t>产权证号</t>
  </si>
  <si>
    <t>渝（2018）綦江区不动产权第000943986号</t>
  </si>
  <si>
    <t>商业及车库</t>
  </si>
  <si>
    <t>写字楼</t>
  </si>
  <si>
    <t>渝（2020）綦江区不动产权第000401632号</t>
  </si>
  <si>
    <t>渝（2018）綦江区不动产权第000943988号</t>
  </si>
  <si>
    <t>綦江区文龙街道九龙大道15号名扬国际广场（三层）</t>
  </si>
  <si>
    <t>渝（2020）綦江区不动产权第000401623号</t>
  </si>
  <si>
    <t>渝（2020）綦江区不动产权第000185362号</t>
  </si>
  <si>
    <t>綦江区文龙街道九龙大道15号名扬国际广场（一层）</t>
  </si>
  <si>
    <t>渝（2020）綦江区不动产权第000401624号</t>
  </si>
  <si>
    <t>渝（2020）綦江区不动产权第000131238号</t>
  </si>
  <si>
    <t>綦江区文龙街道九龙大道15号名扬国际广场（四层）</t>
  </si>
  <si>
    <t>渝（2020）綦江区不动产权第000401626号</t>
  </si>
  <si>
    <t>渝（2018）綦江区不动产权第000943992号</t>
  </si>
  <si>
    <t>綦江区文龙街道九龙大道15号名扬国际广场（二层）</t>
  </si>
  <si>
    <t>渝（2020）綦江区不动产权第000401628号</t>
  </si>
  <si>
    <t>渝（2018）綦江区不动产权第000944001号</t>
  </si>
  <si>
    <t>綦江区文龙街道九龙大道15号名扬国际广场（一至四层）</t>
  </si>
  <si>
    <t>渝（2020）綦江区不动产权第000401629号</t>
  </si>
  <si>
    <t>渝（2018）綦江区不动产权第000933463号</t>
  </si>
  <si>
    <t>备注</t>
  </si>
  <si>
    <t>1F</t>
  </si>
  <si>
    <r>
      <t>商业</t>
    </r>
    <r>
      <rPr>
        <sz val="10"/>
        <color theme="1"/>
        <rFont val="Times New Roman"/>
        <family val="1"/>
      </rPr>
      <t>1-2</t>
    </r>
  </si>
  <si>
    <r>
      <t>商业</t>
    </r>
    <r>
      <rPr>
        <sz val="10"/>
        <color theme="1"/>
        <rFont val="Times New Roman"/>
        <family val="1"/>
      </rPr>
      <t>1-28</t>
    </r>
  </si>
  <si>
    <r>
      <t>商业</t>
    </r>
    <r>
      <rPr>
        <sz val="10"/>
        <color theme="1"/>
        <rFont val="Times New Roman"/>
        <family val="1"/>
      </rPr>
      <t>1-29</t>
    </r>
  </si>
  <si>
    <r>
      <t>商业</t>
    </r>
    <r>
      <rPr>
        <sz val="10"/>
        <color theme="1"/>
        <rFont val="Times New Roman"/>
        <family val="1"/>
      </rPr>
      <t>1-3</t>
    </r>
  </si>
  <si>
    <r>
      <t>商业</t>
    </r>
    <r>
      <rPr>
        <sz val="10"/>
        <color theme="1"/>
        <rFont val="Times New Roman"/>
        <family val="1"/>
      </rPr>
      <t>1-30</t>
    </r>
  </si>
  <si>
    <r>
      <t>商业</t>
    </r>
    <r>
      <rPr>
        <sz val="10"/>
        <color theme="1"/>
        <rFont val="Times New Roman"/>
        <family val="1"/>
      </rPr>
      <t>1-31</t>
    </r>
  </si>
  <si>
    <r>
      <t>商业</t>
    </r>
    <r>
      <rPr>
        <sz val="10"/>
        <color theme="1"/>
        <rFont val="Times New Roman"/>
        <family val="1"/>
      </rPr>
      <t>1-32</t>
    </r>
  </si>
  <si>
    <r>
      <t>商业</t>
    </r>
    <r>
      <rPr>
        <sz val="10"/>
        <color theme="1"/>
        <rFont val="Times New Roman"/>
        <family val="1"/>
      </rPr>
      <t>1-33</t>
    </r>
  </si>
  <si>
    <r>
      <t>商业</t>
    </r>
    <r>
      <rPr>
        <sz val="10"/>
        <color theme="1"/>
        <rFont val="Times New Roman"/>
        <family val="1"/>
      </rPr>
      <t>1-35</t>
    </r>
  </si>
  <si>
    <r>
      <t>商业</t>
    </r>
    <r>
      <rPr>
        <sz val="10"/>
        <color theme="1"/>
        <rFont val="Times New Roman"/>
        <family val="1"/>
      </rPr>
      <t>1-36</t>
    </r>
  </si>
  <si>
    <r>
      <t>商业</t>
    </r>
    <r>
      <rPr>
        <sz val="10"/>
        <color theme="1"/>
        <rFont val="Times New Roman"/>
        <family val="1"/>
      </rPr>
      <t>1-37</t>
    </r>
  </si>
  <si>
    <r>
      <t>商业</t>
    </r>
    <r>
      <rPr>
        <sz val="10"/>
        <color theme="1"/>
        <rFont val="Times New Roman"/>
        <family val="1"/>
      </rPr>
      <t>1-38</t>
    </r>
  </si>
  <si>
    <r>
      <t>商业</t>
    </r>
    <r>
      <rPr>
        <sz val="10"/>
        <color theme="1"/>
        <rFont val="Times New Roman"/>
        <family val="1"/>
      </rPr>
      <t>1-39</t>
    </r>
  </si>
  <si>
    <t>商业25</t>
  </si>
  <si>
    <t>商业81</t>
  </si>
  <si>
    <t>2F</t>
  </si>
  <si>
    <t>商业2</t>
  </si>
  <si>
    <t>商业4</t>
  </si>
  <si>
    <t>商业7</t>
  </si>
  <si>
    <r>
      <t>1</t>
    </r>
    <r>
      <rPr>
        <sz val="11"/>
        <color theme="1"/>
        <rFont val="宋体"/>
        <family val="3"/>
        <charset val="134"/>
        <scheme val="minor"/>
      </rPr>
      <t>F</t>
    </r>
    <phoneticPr fontId="140" type="noConversion"/>
  </si>
  <si>
    <r>
      <t>2</t>
    </r>
    <r>
      <rPr>
        <sz val="11"/>
        <color theme="1"/>
        <rFont val="宋体"/>
        <family val="3"/>
        <charset val="134"/>
        <scheme val="minor"/>
      </rPr>
      <t>F</t>
    </r>
    <phoneticPr fontId="140" type="noConversion"/>
  </si>
  <si>
    <r>
      <t>3</t>
    </r>
    <r>
      <rPr>
        <sz val="11"/>
        <color theme="1"/>
        <rFont val="宋体"/>
        <family val="3"/>
        <charset val="134"/>
        <scheme val="minor"/>
      </rPr>
      <t>F</t>
    </r>
    <phoneticPr fontId="140" type="noConversion"/>
  </si>
  <si>
    <t>4F</t>
    <phoneticPr fontId="140" type="noConversion"/>
  </si>
  <si>
    <t>B1F</t>
    <phoneticPr fontId="140" type="noConversion"/>
  </si>
  <si>
    <t>商业</t>
    <phoneticPr fontId="140" type="noConversion"/>
  </si>
  <si>
    <t>车库</t>
    <phoneticPr fontId="140" type="noConversion"/>
  </si>
  <si>
    <t>办公</t>
    <phoneticPr fontId="140" type="noConversion"/>
  </si>
  <si>
    <t>7-24F</t>
    <phoneticPr fontId="140" type="noConversion"/>
  </si>
  <si>
    <t>抵押</t>
  </si>
  <si>
    <t>房地产抵押价值</t>
  </si>
  <si>
    <t>其他：</t>
  </si>
  <si>
    <t>企业</t>
  </si>
  <si>
    <t>出让</t>
  </si>
  <si>
    <t>商业及车位</t>
  </si>
  <si>
    <t>商业及车位</t>
    <phoneticPr fontId="7" type="noConversion"/>
  </si>
  <si>
    <t>办公</t>
    <phoneticPr fontId="7" type="noConversion"/>
  </si>
  <si>
    <t>是</t>
  </si>
  <si>
    <t>总价</t>
  </si>
  <si>
    <t>成本比率</t>
  </si>
  <si>
    <t>成本法</t>
  </si>
  <si>
    <t>钢混</t>
  </si>
  <si>
    <t>非生产用房</t>
  </si>
  <si>
    <t>按租金收入计税</t>
  </si>
  <si>
    <t>押一</t>
  </si>
  <si>
    <t>收益法-办公</t>
  </si>
  <si>
    <t>收益法-办公</t>
    <phoneticPr fontId="16" type="noConversion"/>
  </si>
  <si>
    <t>成新度</t>
  </si>
  <si>
    <t>未包含在土地购买价格中</t>
  </si>
  <si>
    <t>全部缴纳</t>
  </si>
  <si>
    <t>已包含在土地取得成本中</t>
  </si>
  <si>
    <t>利息：取LPR加浮动点数</t>
  </si>
  <si>
    <t>面积</t>
    <phoneticPr fontId="3" type="noConversion"/>
  </si>
  <si>
    <t>楼层系数</t>
    <phoneticPr fontId="3" type="noConversion"/>
  </si>
  <si>
    <t>租金</t>
    <phoneticPr fontId="3" type="noConversion"/>
  </si>
  <si>
    <t>面积占比</t>
    <phoneticPr fontId="3" type="noConversion"/>
  </si>
  <si>
    <t>含地下车库面积</t>
    <phoneticPr fontId="3" type="noConversion"/>
  </si>
  <si>
    <t>收益法</t>
  </si>
  <si>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</si>
  <si>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</si>
  <si>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</si>
  <si>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</si>
  <si>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</si>
  <si>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</si>
  <si>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</si>
  <si>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</si>
  <si>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</si>
  <si>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</si>
  <si>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</si>
  <si>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</si>
  <si>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</si>
  <si>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</si>
  <si>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溢价率</t>
  </si>
  <si>
    <t>受让单位</t>
  </si>
  <si>
    <t>土地星级</t>
  </si>
  <si>
    <t>重庆市</t>
  </si>
  <si>
    <t>商业/办公用地</t>
  </si>
  <si>
    <t>挂牌</t>
  </si>
  <si>
    <t>3星</t>
  </si>
  <si>
    <t>三江街道</t>
  </si>
  <si>
    <t>≤1.5</t>
  </si>
  <si>
    <t>零售商业用地</t>
  </si>
  <si>
    <t>2021-03-01</t>
  </si>
  <si>
    <t>重庆喜洋洋旅游开发有限公司</t>
  </si>
  <si>
    <t>1星</t>
  </si>
  <si>
    <t>2星</t>
  </si>
  <si>
    <t>横山镇</t>
  </si>
  <si>
    <t>安稳镇</t>
  </si>
  <si>
    <t>打通镇</t>
  </si>
  <si>
    <t>东部新城</t>
  </si>
  <si>
    <t>小于或等于1.2</t>
  </si>
  <si>
    <t>商务用地</t>
  </si>
  <si>
    <t>2019-12-09</t>
  </si>
  <si>
    <t>重庆市綦江区城市建设投资有限公司</t>
  </si>
  <si>
    <t>郭扶镇</t>
  </si>
  <si>
    <t>≥1并且≤1.2</t>
  </si>
  <si>
    <t>其他建设用地(商业类避暑休闲地产)</t>
  </si>
  <si>
    <t>2019-12-04</t>
  </si>
  <si>
    <t>重庆鼎瓯置业有限公司</t>
  </si>
  <si>
    <t>关坝镇坪坝村</t>
  </si>
  <si>
    <t>≤2.5</t>
  </si>
  <si>
    <t>商业用地</t>
  </si>
  <si>
    <t>2019-10-28</t>
  </si>
  <si>
    <t>重庆市大业兴农产品交易有限公司</t>
  </si>
  <si>
    <t>≤3.0</t>
  </si>
  <si>
    <t>商务金融用地</t>
  </si>
  <si>
    <t>2019-10-09</t>
  </si>
  <si>
    <t>其他商服用地</t>
  </si>
  <si>
    <t>重庆黍园生态农业开发有限公司</t>
  </si>
  <si>
    <t>新盛镇</t>
  </si>
  <si>
    <t>≤2</t>
  </si>
  <si>
    <t>商业服务业设施用地</t>
  </si>
  <si>
    <t>2019-09-02</t>
  </si>
  <si>
    <t>重庆市綦江区鼎盛机动车检测有限公司</t>
  </si>
  <si>
    <t>≤1.7</t>
  </si>
  <si>
    <t>2019-08-15</t>
  </si>
  <si>
    <t>重庆鸿达商贸有限公司</t>
  </si>
  <si>
    <t>小于或等于3.5</t>
  </si>
  <si>
    <t>2019-07-23</t>
  </si>
  <si>
    <t>重庆綦江交通实业(集团)有限公司</t>
  </si>
  <si>
    <t>≤0.3</t>
  </si>
  <si>
    <t>2019-01-18</t>
  </si>
  <si>
    <t>重庆亲山盛州置业有限公司</t>
  </si>
  <si>
    <t>正常</t>
    <phoneticPr fontId="31" type="noConversion"/>
  </si>
  <si>
    <t>正常</t>
    <phoneticPr fontId="31" type="noConversion"/>
  </si>
  <si>
    <t>正常</t>
    <phoneticPr fontId="31" type="noConversion"/>
  </si>
  <si>
    <t>较好</t>
    <phoneticPr fontId="31" type="noConversion"/>
  </si>
  <si>
    <t>一般</t>
    <phoneticPr fontId="31" type="noConversion"/>
  </si>
  <si>
    <t>较差</t>
    <phoneticPr fontId="31" type="noConversion"/>
  </si>
  <si>
    <t>六通</t>
    <phoneticPr fontId="31" type="noConversion"/>
  </si>
  <si>
    <t>收益法（汇总）</t>
  </si>
  <si>
    <t>合同基础信息</t>
  </si>
  <si>
    <r>
      <rPr>
        <b/>
        <sz val="10"/>
        <color indexed="9"/>
        <rFont val="Arial Unicode MS"/>
        <family val="2"/>
        <charset val="134"/>
      </rPr>
      <t>租金标准</t>
    </r>
  </si>
  <si>
    <t>合同优惠信息</t>
  </si>
  <si>
    <t>```</t>
  </si>
  <si>
    <r>
      <rPr>
        <b/>
        <sz val="10"/>
        <color indexed="9"/>
        <rFont val="Arial Unicode MS"/>
        <family val="2"/>
        <charset val="134"/>
      </rPr>
      <t>经营品牌</t>
    </r>
  </si>
  <si>
    <r>
      <rPr>
        <b/>
        <sz val="10"/>
        <color indexed="9"/>
        <rFont val="Arial Unicode MS"/>
        <family val="2"/>
        <charset val="134"/>
      </rPr>
      <t>楼层</t>
    </r>
  </si>
  <si>
    <r>
      <rPr>
        <b/>
        <sz val="10"/>
        <color indexed="9"/>
        <rFont val="Arial Unicode MS"/>
        <family val="2"/>
        <charset val="134"/>
      </rPr>
      <t>铺位编号</t>
    </r>
  </si>
  <si>
    <r>
      <rPr>
        <b/>
        <sz val="10"/>
        <color indexed="9"/>
        <rFont val="Arial Unicode MS"/>
        <family val="2"/>
        <charset val="134"/>
      </rPr>
      <t>计租面积（㎡）</t>
    </r>
  </si>
  <si>
    <t>经营业态</t>
  </si>
  <si>
    <t>商户名称</t>
  </si>
  <si>
    <t>计租开始日期</t>
  </si>
  <si>
    <t>计租结束日期</t>
  </si>
  <si>
    <t>租赁年度</t>
  </si>
  <si>
    <r>
      <rPr>
        <b/>
        <sz val="10"/>
        <color indexed="9"/>
        <rFont val="Arial Unicode MS"/>
        <family val="2"/>
        <charset val="134"/>
      </rPr>
      <t>计费方式</t>
    </r>
  </si>
  <si>
    <r>
      <rPr>
        <b/>
        <sz val="10"/>
        <color indexed="9"/>
        <rFont val="Arial Unicode MS"/>
        <family val="2"/>
        <charset val="134"/>
      </rPr>
      <t>第一年租金单价</t>
    </r>
    <r>
      <rPr>
        <b/>
        <sz val="10"/>
        <color indexed="9"/>
        <rFont val="Arial"/>
        <family val="2"/>
      </rPr>
      <t>(</t>
    </r>
    <r>
      <rPr>
        <b/>
        <sz val="10"/>
        <color indexed="9"/>
        <rFont val="Arial Unicode MS"/>
        <family val="2"/>
        <charset val="134"/>
      </rPr>
      <t>元</t>
    </r>
    <r>
      <rPr>
        <b/>
        <sz val="10"/>
        <color indexed="9"/>
        <rFont val="Arial"/>
        <family val="2"/>
      </rPr>
      <t>/</t>
    </r>
    <r>
      <rPr>
        <b/>
        <sz val="10"/>
        <color indexed="9"/>
        <rFont val="Arial Unicode MS"/>
        <family val="2"/>
        <charset val="134"/>
      </rPr>
      <t>月</t>
    </r>
    <r>
      <rPr>
        <b/>
        <sz val="10"/>
        <color indexed="9"/>
        <rFont val="Arial"/>
        <family val="2"/>
      </rPr>
      <t>/</t>
    </r>
    <r>
      <rPr>
        <b/>
        <sz val="10"/>
        <color indexed="9"/>
        <rFont val="Arial Unicode MS"/>
        <family val="2"/>
        <charset val="134"/>
      </rPr>
      <t>㎡</t>
    </r>
    <r>
      <rPr>
        <b/>
        <sz val="10"/>
        <color indexed="9"/>
        <rFont val="Arial"/>
        <family val="2"/>
      </rPr>
      <t>)</t>
    </r>
  </si>
  <si>
    <r>
      <rPr>
        <b/>
        <sz val="10"/>
        <color indexed="9"/>
        <rFont val="Arial Unicode MS"/>
        <family val="2"/>
        <charset val="134"/>
      </rPr>
      <t>第二年租金单价</t>
    </r>
    <r>
      <rPr>
        <b/>
        <sz val="10"/>
        <color indexed="9"/>
        <rFont val="Arial"/>
        <family val="2"/>
      </rPr>
      <t>(</t>
    </r>
    <r>
      <rPr>
        <b/>
        <sz val="10"/>
        <color indexed="9"/>
        <rFont val="Arial Unicode MS"/>
        <family val="2"/>
        <charset val="134"/>
      </rPr>
      <t>元</t>
    </r>
    <r>
      <rPr>
        <b/>
        <sz val="10"/>
        <color indexed="9"/>
        <rFont val="Arial"/>
        <family val="2"/>
      </rPr>
      <t>/</t>
    </r>
    <r>
      <rPr>
        <b/>
        <sz val="10"/>
        <color indexed="9"/>
        <rFont val="Arial Unicode MS"/>
        <family val="2"/>
        <charset val="134"/>
      </rPr>
      <t>月</t>
    </r>
    <r>
      <rPr>
        <b/>
        <sz val="10"/>
        <color indexed="9"/>
        <rFont val="Arial"/>
        <family val="2"/>
      </rPr>
      <t>/</t>
    </r>
    <r>
      <rPr>
        <b/>
        <sz val="10"/>
        <color indexed="9"/>
        <rFont val="Arial Unicode MS"/>
        <family val="2"/>
        <charset val="134"/>
      </rPr>
      <t>㎡</t>
    </r>
    <r>
      <rPr>
        <b/>
        <sz val="10"/>
        <color indexed="9"/>
        <rFont val="Arial"/>
        <family val="2"/>
      </rPr>
      <t>)</t>
    </r>
  </si>
  <si>
    <r>
      <rPr>
        <b/>
        <sz val="10"/>
        <color indexed="9"/>
        <rFont val="Arial Unicode MS"/>
        <family val="2"/>
        <charset val="134"/>
      </rPr>
      <t>第三年租金单价</t>
    </r>
    <r>
      <rPr>
        <b/>
        <sz val="10"/>
        <color indexed="9"/>
        <rFont val="Arial"/>
        <family val="2"/>
      </rPr>
      <t>(</t>
    </r>
    <r>
      <rPr>
        <b/>
        <sz val="10"/>
        <color indexed="9"/>
        <rFont val="Arial Unicode MS"/>
        <family val="2"/>
        <charset val="134"/>
      </rPr>
      <t>元</t>
    </r>
    <r>
      <rPr>
        <b/>
        <sz val="10"/>
        <color indexed="9"/>
        <rFont val="Arial"/>
        <family val="2"/>
      </rPr>
      <t>/</t>
    </r>
    <r>
      <rPr>
        <b/>
        <sz val="10"/>
        <color indexed="9"/>
        <rFont val="Arial Unicode MS"/>
        <family val="2"/>
        <charset val="134"/>
      </rPr>
      <t>月</t>
    </r>
    <r>
      <rPr>
        <b/>
        <sz val="10"/>
        <color indexed="9"/>
        <rFont val="Arial"/>
        <family val="2"/>
      </rPr>
      <t>/</t>
    </r>
    <r>
      <rPr>
        <b/>
        <sz val="10"/>
        <color indexed="9"/>
        <rFont val="Arial Unicode MS"/>
        <family val="2"/>
        <charset val="134"/>
      </rPr>
      <t>㎡</t>
    </r>
    <r>
      <rPr>
        <b/>
        <sz val="10"/>
        <color indexed="9"/>
        <rFont val="Arial"/>
        <family val="2"/>
      </rPr>
      <t>)</t>
    </r>
  </si>
  <si>
    <r>
      <rPr>
        <b/>
        <sz val="10"/>
        <color indexed="9"/>
        <rFont val="Arial Unicode MS"/>
        <family val="2"/>
        <charset val="134"/>
      </rPr>
      <t>第四年租金单价</t>
    </r>
    <r>
      <rPr>
        <b/>
        <sz val="10"/>
        <color indexed="9"/>
        <rFont val="Arial"/>
        <family val="2"/>
      </rPr>
      <t>(</t>
    </r>
    <r>
      <rPr>
        <b/>
        <sz val="10"/>
        <color indexed="9"/>
        <rFont val="Arial Unicode MS"/>
        <family val="2"/>
        <charset val="134"/>
      </rPr>
      <t>元</t>
    </r>
    <r>
      <rPr>
        <b/>
        <sz val="10"/>
        <color indexed="9"/>
        <rFont val="Arial"/>
        <family val="2"/>
      </rPr>
      <t>/</t>
    </r>
    <r>
      <rPr>
        <b/>
        <sz val="10"/>
        <color indexed="9"/>
        <rFont val="Arial Unicode MS"/>
        <family val="2"/>
        <charset val="134"/>
      </rPr>
      <t>月</t>
    </r>
    <r>
      <rPr>
        <b/>
        <sz val="10"/>
        <color indexed="9"/>
        <rFont val="Arial"/>
        <family val="2"/>
      </rPr>
      <t>/</t>
    </r>
    <r>
      <rPr>
        <b/>
        <sz val="10"/>
        <color indexed="9"/>
        <rFont val="Arial Unicode MS"/>
        <family val="2"/>
        <charset val="134"/>
      </rPr>
      <t>㎡</t>
    </r>
    <r>
      <rPr>
        <b/>
        <sz val="10"/>
        <color indexed="9"/>
        <rFont val="Arial"/>
        <family val="2"/>
      </rPr>
      <t>)</t>
    </r>
  </si>
  <si>
    <r>
      <rPr>
        <b/>
        <sz val="10"/>
        <color indexed="9"/>
        <rFont val="Arial Unicode MS"/>
        <family val="2"/>
        <charset val="134"/>
      </rPr>
      <t>第五年租金单价</t>
    </r>
    <r>
      <rPr>
        <b/>
        <sz val="10"/>
        <color indexed="9"/>
        <rFont val="Arial"/>
        <family val="2"/>
      </rPr>
      <t>(</t>
    </r>
    <r>
      <rPr>
        <b/>
        <sz val="10"/>
        <color indexed="9"/>
        <rFont val="Arial Unicode MS"/>
        <family val="2"/>
        <charset val="134"/>
      </rPr>
      <t>元</t>
    </r>
    <r>
      <rPr>
        <b/>
        <sz val="10"/>
        <color indexed="9"/>
        <rFont val="Arial"/>
        <family val="2"/>
      </rPr>
      <t>/</t>
    </r>
    <r>
      <rPr>
        <b/>
        <sz val="10"/>
        <color indexed="9"/>
        <rFont val="Arial Unicode MS"/>
        <family val="2"/>
        <charset val="134"/>
      </rPr>
      <t>月</t>
    </r>
    <r>
      <rPr>
        <b/>
        <sz val="10"/>
        <color indexed="9"/>
        <rFont val="Arial"/>
        <family val="2"/>
      </rPr>
      <t>/</t>
    </r>
    <r>
      <rPr>
        <b/>
        <sz val="10"/>
        <color indexed="9"/>
        <rFont val="Arial Unicode MS"/>
        <family val="2"/>
        <charset val="134"/>
      </rPr>
      <t>㎡</t>
    </r>
    <r>
      <rPr>
        <b/>
        <sz val="10"/>
        <color indexed="9"/>
        <rFont val="Arial"/>
        <family val="2"/>
      </rPr>
      <t>)</t>
    </r>
  </si>
  <si>
    <r>
      <rPr>
        <b/>
        <sz val="10"/>
        <color indexed="9"/>
        <rFont val="Arial Unicode MS"/>
        <family val="2"/>
        <charset val="134"/>
      </rPr>
      <t>第六年租金单价</t>
    </r>
    <r>
      <rPr>
        <b/>
        <sz val="10"/>
        <color indexed="9"/>
        <rFont val="Arial"/>
        <family val="2"/>
      </rPr>
      <t>(</t>
    </r>
    <r>
      <rPr>
        <b/>
        <sz val="10"/>
        <color indexed="9"/>
        <rFont val="Arial Unicode MS"/>
        <family val="2"/>
        <charset val="134"/>
      </rPr>
      <t>元</t>
    </r>
    <r>
      <rPr>
        <b/>
        <sz val="10"/>
        <color indexed="9"/>
        <rFont val="Arial"/>
        <family val="2"/>
      </rPr>
      <t>/</t>
    </r>
    <r>
      <rPr>
        <b/>
        <sz val="10"/>
        <color indexed="9"/>
        <rFont val="Arial Unicode MS"/>
        <family val="2"/>
        <charset val="134"/>
      </rPr>
      <t>月</t>
    </r>
    <r>
      <rPr>
        <b/>
        <sz val="10"/>
        <color indexed="9"/>
        <rFont val="Arial"/>
        <family val="2"/>
      </rPr>
      <t>/</t>
    </r>
    <r>
      <rPr>
        <b/>
        <sz val="10"/>
        <color indexed="9"/>
        <rFont val="Arial Unicode MS"/>
        <family val="2"/>
        <charset val="134"/>
      </rPr>
      <t>㎡</t>
    </r>
    <r>
      <rPr>
        <b/>
        <sz val="10"/>
        <color indexed="9"/>
        <rFont val="Arial"/>
        <family val="2"/>
      </rPr>
      <t>)</t>
    </r>
  </si>
  <si>
    <r>
      <rPr>
        <b/>
        <sz val="10"/>
        <color indexed="9"/>
        <rFont val="Arial Unicode MS"/>
        <family val="2"/>
        <charset val="134"/>
      </rPr>
      <t>第七年租金单价</t>
    </r>
    <r>
      <rPr>
        <b/>
        <sz val="10"/>
        <color indexed="9"/>
        <rFont val="Arial"/>
        <family val="2"/>
      </rPr>
      <t>(</t>
    </r>
    <r>
      <rPr>
        <b/>
        <sz val="10"/>
        <color indexed="9"/>
        <rFont val="Arial Unicode MS"/>
        <family val="2"/>
        <charset val="134"/>
      </rPr>
      <t>元</t>
    </r>
    <r>
      <rPr>
        <b/>
        <sz val="10"/>
        <color indexed="9"/>
        <rFont val="Arial"/>
        <family val="2"/>
      </rPr>
      <t>/</t>
    </r>
    <r>
      <rPr>
        <b/>
        <sz val="10"/>
        <color indexed="9"/>
        <rFont val="Arial Unicode MS"/>
        <family val="2"/>
        <charset val="134"/>
      </rPr>
      <t>月</t>
    </r>
    <r>
      <rPr>
        <b/>
        <sz val="10"/>
        <color indexed="9"/>
        <rFont val="Arial"/>
        <family val="2"/>
      </rPr>
      <t>/</t>
    </r>
    <r>
      <rPr>
        <b/>
        <sz val="10"/>
        <color indexed="9"/>
        <rFont val="Arial Unicode MS"/>
        <family val="2"/>
        <charset val="134"/>
      </rPr>
      <t>㎡</t>
    </r>
    <r>
      <rPr>
        <b/>
        <sz val="10"/>
        <color indexed="9"/>
        <rFont val="Arial"/>
        <family val="2"/>
      </rPr>
      <t>)</t>
    </r>
  </si>
  <si>
    <r>
      <rPr>
        <b/>
        <sz val="10"/>
        <color indexed="9"/>
        <rFont val="Arial Unicode MS"/>
        <family val="2"/>
        <charset val="134"/>
      </rPr>
      <t>第八年租金单价</t>
    </r>
    <r>
      <rPr>
        <b/>
        <sz val="10"/>
        <color indexed="9"/>
        <rFont val="Arial"/>
        <family val="2"/>
      </rPr>
      <t>(</t>
    </r>
    <r>
      <rPr>
        <b/>
        <sz val="10"/>
        <color indexed="9"/>
        <rFont val="Arial Unicode MS"/>
        <family val="2"/>
        <charset val="134"/>
      </rPr>
      <t>元</t>
    </r>
    <r>
      <rPr>
        <b/>
        <sz val="10"/>
        <color indexed="9"/>
        <rFont val="Arial"/>
        <family val="2"/>
      </rPr>
      <t>/</t>
    </r>
    <r>
      <rPr>
        <b/>
        <sz val="10"/>
        <color indexed="9"/>
        <rFont val="Arial Unicode MS"/>
        <family val="2"/>
        <charset val="134"/>
      </rPr>
      <t>月</t>
    </r>
    <r>
      <rPr>
        <b/>
        <sz val="10"/>
        <color indexed="9"/>
        <rFont val="Arial"/>
        <family val="2"/>
      </rPr>
      <t>/</t>
    </r>
    <r>
      <rPr>
        <b/>
        <sz val="10"/>
        <color indexed="9"/>
        <rFont val="Arial Unicode MS"/>
        <family val="2"/>
        <charset val="134"/>
      </rPr>
      <t>㎡</t>
    </r>
    <r>
      <rPr>
        <b/>
        <sz val="10"/>
        <color indexed="9"/>
        <rFont val="Arial"/>
        <family val="2"/>
      </rPr>
      <t>)</t>
    </r>
  </si>
  <si>
    <t>月租（元）</t>
  </si>
  <si>
    <t>下半年租金统计</t>
  </si>
  <si>
    <t>单位月物业费</t>
  </si>
  <si>
    <t>月物管费（元）</t>
  </si>
  <si>
    <t>第一年优惠（月）</t>
  </si>
  <si>
    <t>第二年优惠（月）</t>
  </si>
  <si>
    <t>第三年优惠（月）</t>
  </si>
  <si>
    <t>经营优惠（月）</t>
  </si>
  <si>
    <t>大润发</t>
  </si>
  <si>
    <r>
      <rPr>
        <b/>
        <sz val="10"/>
        <color indexed="10"/>
        <rFont val="宋体"/>
        <family val="3"/>
        <charset val="134"/>
      </rPr>
      <t>负一</t>
    </r>
    <r>
      <rPr>
        <b/>
        <sz val="10"/>
        <color indexed="10"/>
        <rFont val="Arial"/>
        <family val="2"/>
      </rPr>
      <t>/F1</t>
    </r>
  </si>
  <si>
    <t>超市</t>
  </si>
  <si>
    <t>康成投资（中国）有限公司</t>
  </si>
  <si>
    <t>2018.12.31</t>
  </si>
  <si>
    <t>2038.12.30</t>
  </si>
  <si>
    <t>抽成租金</t>
  </si>
  <si>
    <t>时佳手表</t>
  </si>
  <si>
    <t>F1</t>
  </si>
  <si>
    <t>F1-002/003</t>
  </si>
  <si>
    <t>配套</t>
  </si>
  <si>
    <t>邹光永</t>
  </si>
  <si>
    <t>2021.7.30</t>
  </si>
  <si>
    <t>2024.7.29</t>
  </si>
  <si>
    <t>固定租金</t>
  </si>
  <si>
    <t>/</t>
  </si>
  <si>
    <t>OPPO</t>
  </si>
  <si>
    <t>F1-005</t>
  </si>
  <si>
    <t>重庆耀琪龙通讯器材有限公司</t>
  </si>
  <si>
    <t>芭芭多</t>
  </si>
  <si>
    <t>F1-006</t>
  </si>
  <si>
    <t>配套-护肤品</t>
  </si>
  <si>
    <t>张波</t>
  </si>
  <si>
    <t>POLOsport</t>
  </si>
  <si>
    <t>F1-0008/009</t>
  </si>
  <si>
    <t>服装</t>
  </si>
  <si>
    <t>郑碧顺</t>
  </si>
  <si>
    <t>CHFPIBS＆KSLTH</t>
  </si>
  <si>
    <t>F1-011/012</t>
  </si>
  <si>
    <t>吴燕</t>
  </si>
  <si>
    <t>3（1-3季度分配）</t>
  </si>
  <si>
    <t>绽然AFleurir</t>
  </si>
  <si>
    <t>F1-013</t>
  </si>
  <si>
    <t>服装-女装-中淑装</t>
  </si>
  <si>
    <t>涂富刚</t>
  </si>
  <si>
    <t>WHNELOVE、ZEEFEE</t>
  </si>
  <si>
    <t>F1-014</t>
  </si>
  <si>
    <t>服装零售</t>
  </si>
  <si>
    <t>上海霖珂商务咨询有限公司</t>
  </si>
  <si>
    <t>中国无印良品</t>
  </si>
  <si>
    <t>F1-015</t>
  </si>
  <si>
    <t>配套零售</t>
  </si>
  <si>
    <t>卢震</t>
  </si>
  <si>
    <t>鑫鑫美甲</t>
  </si>
  <si>
    <t>F1-016</t>
  </si>
  <si>
    <t>帅勇</t>
  </si>
  <si>
    <t>桔尚（JOYPEAKER）</t>
  </si>
  <si>
    <t>F1-018</t>
  </si>
  <si>
    <t>金方生</t>
  </si>
  <si>
    <t>名创优品</t>
  </si>
  <si>
    <t>F1-023</t>
  </si>
  <si>
    <t>零售</t>
  </si>
  <si>
    <t>欧平</t>
  </si>
  <si>
    <t>2017.12.01</t>
  </si>
  <si>
    <t>2022.11.30</t>
  </si>
  <si>
    <t>货郎先生</t>
  </si>
  <si>
    <t>F1-024</t>
  </si>
  <si>
    <t>主力店</t>
  </si>
  <si>
    <t>石磊</t>
  </si>
  <si>
    <t>2027.7.29</t>
  </si>
  <si>
    <t>B.DUCK</t>
  </si>
  <si>
    <t>F1-025</t>
  </si>
  <si>
    <t>向秋林</t>
  </si>
  <si>
    <t>独漾</t>
  </si>
  <si>
    <t>F1-026</t>
  </si>
  <si>
    <t>夏天</t>
  </si>
  <si>
    <t>3colour</t>
  </si>
  <si>
    <t>F1-027/028</t>
  </si>
  <si>
    <t>杨志勇</t>
  </si>
  <si>
    <t>IT'S SEEME</t>
  </si>
  <si>
    <t>F1-029</t>
  </si>
  <si>
    <t>佘洪君、张元梅</t>
  </si>
  <si>
    <t>ARLOSEyears</t>
  </si>
  <si>
    <t>F1-030</t>
  </si>
  <si>
    <t>服装配饰零售</t>
  </si>
  <si>
    <t>赵忠敏</t>
  </si>
  <si>
    <t>秋水伊人</t>
  </si>
  <si>
    <t>F1-031</t>
  </si>
  <si>
    <t>女装</t>
  </si>
  <si>
    <t>李德锦</t>
  </si>
  <si>
    <t>恩瑞妮</t>
  </si>
  <si>
    <t>F-032</t>
  </si>
  <si>
    <t>刘巧玲</t>
  </si>
  <si>
    <t>屈臣氏</t>
  </si>
  <si>
    <t>F-033</t>
  </si>
  <si>
    <t>重庆屈臣氏个人用品商店</t>
  </si>
  <si>
    <t>2025.11.30</t>
  </si>
  <si>
    <t>小米</t>
  </si>
  <si>
    <t>F1-036</t>
  </si>
  <si>
    <t>必胜客</t>
  </si>
  <si>
    <t>F1/F2</t>
  </si>
  <si>
    <t>F1-38/F2-003</t>
  </si>
  <si>
    <t>餐饮</t>
  </si>
  <si>
    <t>百胜餐饮公司</t>
  </si>
  <si>
    <t>2021.12.01</t>
  </si>
  <si>
    <t>2032.12.31</t>
  </si>
  <si>
    <t>红蜻蜓</t>
  </si>
  <si>
    <t>F2</t>
  </si>
  <si>
    <t>F2-006-1</t>
  </si>
  <si>
    <t>永嘉红蜻蜓贸易有限公司</t>
  </si>
  <si>
    <t>意尔康</t>
  </si>
  <si>
    <t>F2-006</t>
  </si>
  <si>
    <t>配套集合店</t>
  </si>
  <si>
    <t>陈彦伶</t>
  </si>
  <si>
    <t>FGO</t>
  </si>
  <si>
    <t>F2-007-2</t>
  </si>
  <si>
    <t>官金玉</t>
  </si>
  <si>
    <t>法妮莎</t>
  </si>
  <si>
    <t>F2-008</t>
  </si>
  <si>
    <t>金昌富</t>
  </si>
  <si>
    <t>PLAY BOY/苹果</t>
  </si>
  <si>
    <t>F2-009</t>
  </si>
  <si>
    <t>黄炎李</t>
  </si>
  <si>
    <r>
      <rPr>
        <sz val="10"/>
        <rFont val="Arial"/>
        <family val="2"/>
      </rPr>
      <t>YOOZ</t>
    </r>
    <r>
      <rPr>
        <sz val="10"/>
        <rFont val="宋体"/>
        <family val="3"/>
        <charset val="134"/>
      </rPr>
      <t>柚子</t>
    </r>
  </si>
  <si>
    <t>F2-010</t>
  </si>
  <si>
    <r>
      <rPr>
        <sz val="10"/>
        <rFont val="宋体"/>
        <family val="3"/>
        <charset val="134"/>
      </rPr>
      <t>配套</t>
    </r>
    <r>
      <rPr>
        <sz val="10"/>
        <rFont val="Arial"/>
        <family val="2"/>
      </rPr>
      <t>-</t>
    </r>
    <r>
      <rPr>
        <sz val="10"/>
        <rFont val="宋体"/>
        <family val="3"/>
        <charset val="134"/>
      </rPr>
      <t>电子烟</t>
    </r>
  </si>
  <si>
    <t>彭祥炳</t>
  </si>
  <si>
    <t>39度空间</t>
  </si>
  <si>
    <t>F2-011</t>
  </si>
  <si>
    <t>零售服装</t>
  </si>
  <si>
    <t>张磊</t>
  </si>
  <si>
    <t>RIVER STONE</t>
  </si>
  <si>
    <t>F2-012</t>
  </si>
  <si>
    <t>周艳红</t>
  </si>
  <si>
    <t xml:space="preserve"> 110、9%</t>
  </si>
  <si>
    <t>110、9%</t>
  </si>
  <si>
    <t>110、10%</t>
  </si>
  <si>
    <t>雪茄</t>
  </si>
  <si>
    <t>F2-013</t>
  </si>
  <si>
    <t>ADIDAS、NIKE</t>
  </si>
  <si>
    <t>F2-014/015/016</t>
  </si>
  <si>
    <t>季林立</t>
  </si>
  <si>
    <t>2026.7.29</t>
  </si>
  <si>
    <t>潮流前线</t>
  </si>
  <si>
    <t>F2-018-019</t>
  </si>
  <si>
    <t>Meters/bonwe</t>
  </si>
  <si>
    <t>F2-020/021</t>
  </si>
  <si>
    <t>谭俊林</t>
  </si>
  <si>
    <r>
      <rPr>
        <sz val="10"/>
        <color indexed="8"/>
        <rFont val="宋体"/>
        <family val="3"/>
        <charset val="134"/>
      </rPr>
      <t>月营业额</t>
    </r>
    <r>
      <rPr>
        <sz val="10"/>
        <color indexed="8"/>
        <rFont val="Arial"/>
        <family val="2"/>
      </rPr>
      <t>2%</t>
    </r>
  </si>
  <si>
    <t>淘一淘</t>
  </si>
  <si>
    <t>F2-025-027</t>
  </si>
  <si>
    <t>零售配套</t>
  </si>
  <si>
    <t>吴志兵</t>
  </si>
  <si>
    <t>2023.7.29</t>
  </si>
  <si>
    <t>皮尔卡丹</t>
  </si>
  <si>
    <t>F2-033</t>
  </si>
  <si>
    <t>卢思广</t>
  </si>
  <si>
    <t>卓娅佳人</t>
  </si>
  <si>
    <t>F2-035</t>
  </si>
  <si>
    <t>谷卫东</t>
  </si>
  <si>
    <t>卓诗尼</t>
  </si>
  <si>
    <t>F2-036</t>
  </si>
  <si>
    <t>刘鑫</t>
  </si>
  <si>
    <t>香伊公主</t>
  </si>
  <si>
    <t>F2-037</t>
  </si>
  <si>
    <t>配套集合</t>
  </si>
  <si>
    <t>杨光珍</t>
  </si>
  <si>
    <t>简初沫</t>
  </si>
  <si>
    <t>F2-040</t>
  </si>
  <si>
    <t>付先丹</t>
  </si>
  <si>
    <t>SCOMSCOON</t>
  </si>
  <si>
    <t>F2-041</t>
  </si>
  <si>
    <t>陈立英</t>
  </si>
  <si>
    <t>RYRK</t>
  </si>
  <si>
    <t>F2-042</t>
  </si>
  <si>
    <t>李庆会</t>
  </si>
  <si>
    <t>A Wardrobe</t>
  </si>
  <si>
    <t>F2-043</t>
  </si>
  <si>
    <t>刘秋蓉</t>
  </si>
  <si>
    <t>BDWEEKEND</t>
  </si>
  <si>
    <t>F2-044</t>
  </si>
  <si>
    <t>林万端</t>
  </si>
  <si>
    <t>路途</t>
  </si>
  <si>
    <t>F2-045</t>
  </si>
  <si>
    <t>骆小平</t>
  </si>
  <si>
    <t>MOST</t>
  </si>
  <si>
    <t>F2-046/047</t>
  </si>
  <si>
    <t>德尔惠</t>
  </si>
  <si>
    <t>F2-048</t>
  </si>
  <si>
    <t>何钧鹏</t>
  </si>
  <si>
    <t>博来居</t>
  </si>
  <si>
    <t>F2-049</t>
  </si>
  <si>
    <t>朱云峰</t>
  </si>
  <si>
    <t>EMAP</t>
  </si>
  <si>
    <t>F2-051-052</t>
  </si>
  <si>
    <t>新百伦领跑</t>
  </si>
  <si>
    <t>F2-053</t>
  </si>
  <si>
    <t>唐林</t>
  </si>
  <si>
    <t>柔美</t>
  </si>
  <si>
    <t>F2-054</t>
  </si>
  <si>
    <t>李智辉</t>
  </si>
  <si>
    <t>梵妳卡波</t>
  </si>
  <si>
    <t>F2-056</t>
  </si>
  <si>
    <t>胡铃涓</t>
  </si>
  <si>
    <t>木林森、BULLWUTAO</t>
  </si>
  <si>
    <t>F2-057</t>
  </si>
  <si>
    <t>池志强</t>
  </si>
  <si>
    <t>东扬造型</t>
  </si>
  <si>
    <t>F3</t>
  </si>
  <si>
    <t>F3-001-01</t>
  </si>
  <si>
    <t>欧涛</t>
  </si>
  <si>
    <t>乐幻空间</t>
  </si>
  <si>
    <t>F3-001-02</t>
  </si>
  <si>
    <t>儿童、成人电玩，儿童淘气堡、卡丁车、手工DIY等</t>
  </si>
  <si>
    <t>陈勇</t>
  </si>
  <si>
    <t>米澜意芙尼</t>
  </si>
  <si>
    <t>F3-001-03</t>
  </si>
  <si>
    <t>重庆中佳信生物科技有限公司</t>
  </si>
  <si>
    <t>Toy House</t>
  </si>
  <si>
    <t>F3-002</t>
  </si>
  <si>
    <t>配套类-娱乐休闲集合</t>
  </si>
  <si>
    <t>刘跃国</t>
  </si>
  <si>
    <t>米乐熊Milor</t>
  </si>
  <si>
    <t>F3-003</t>
  </si>
  <si>
    <t>儿童零售集合</t>
  </si>
  <si>
    <t>李现宁</t>
  </si>
  <si>
    <t>彩色笔</t>
  </si>
  <si>
    <t>F3-004</t>
  </si>
  <si>
    <t>谭丽丽</t>
  </si>
  <si>
    <t>江博士</t>
  </si>
  <si>
    <t>F3-005</t>
  </si>
  <si>
    <t>百货、零售</t>
  </si>
  <si>
    <t>重庆汇康鞋业有限公司（周洪洁）</t>
  </si>
  <si>
    <t>青蛙王子</t>
  </si>
  <si>
    <t>F3-007/008</t>
  </si>
  <si>
    <t>儿童零售</t>
  </si>
  <si>
    <t>李家邱</t>
  </si>
  <si>
    <r>
      <rPr>
        <sz val="10"/>
        <color indexed="8"/>
        <rFont val="宋体"/>
        <family val="3"/>
        <charset val="134"/>
      </rPr>
      <t>月营业额3</t>
    </r>
    <r>
      <rPr>
        <sz val="10"/>
        <color indexed="8"/>
        <rFont val="Arial"/>
        <family val="2"/>
      </rPr>
      <t>%</t>
    </r>
  </si>
  <si>
    <t>泡泡蓝</t>
  </si>
  <si>
    <t>F3-09</t>
  </si>
  <si>
    <t>张永兰</t>
  </si>
  <si>
    <t>七彩儿童游乐</t>
  </si>
  <si>
    <t>F3-013</t>
  </si>
  <si>
    <t>儿童配套</t>
  </si>
  <si>
    <t>韩宝库</t>
  </si>
  <si>
    <t>楠贝贝</t>
  </si>
  <si>
    <t>F3-015</t>
  </si>
  <si>
    <t>儿童体验</t>
  </si>
  <si>
    <t>重庆楠贝贝文化传播有限公司</t>
  </si>
  <si>
    <t>咔叮卡丁</t>
  </si>
  <si>
    <t>F3-016</t>
  </si>
  <si>
    <t>儿童娱乐</t>
  </si>
  <si>
    <t>谭明炜</t>
  </si>
  <si>
    <t>2022.7.29</t>
  </si>
  <si>
    <r>
      <rPr>
        <sz val="10"/>
        <rFont val="Arial"/>
        <family val="2"/>
      </rPr>
      <t>4</t>
    </r>
    <r>
      <rPr>
        <sz val="10"/>
        <rFont val="宋体"/>
        <family val="3"/>
        <charset val="134"/>
      </rPr>
      <t>（</t>
    </r>
    <r>
      <rPr>
        <sz val="10"/>
        <rFont val="Arial"/>
        <family val="2"/>
      </rPr>
      <t>1-4</t>
    </r>
    <r>
      <rPr>
        <sz val="10"/>
        <rFont val="宋体"/>
        <family val="3"/>
        <charset val="134"/>
      </rPr>
      <t>季度分配）</t>
    </r>
  </si>
  <si>
    <t>追风轮滑</t>
  </si>
  <si>
    <t>F3-018</t>
  </si>
  <si>
    <t>夏浚涛</t>
  </si>
  <si>
    <t>童趣儿童游乐</t>
  </si>
  <si>
    <t>F3-019</t>
  </si>
  <si>
    <t>F4</t>
  </si>
  <si>
    <t>影院</t>
  </si>
  <si>
    <t>牙博士</t>
  </si>
  <si>
    <t>F3-022/028</t>
  </si>
  <si>
    <t>齿科</t>
  </si>
  <si>
    <t>卓渝麟</t>
  </si>
  <si>
    <t>2021.7.31</t>
  </si>
  <si>
    <t>2029.7.30</t>
  </si>
  <si>
    <t>语汐鲜果料理</t>
  </si>
  <si>
    <t>F3-030</t>
  </si>
  <si>
    <t>陈玲</t>
  </si>
  <si>
    <t>铅笔俱乐部</t>
  </si>
  <si>
    <t>F3-032</t>
  </si>
  <si>
    <t>邱春兰</t>
  </si>
  <si>
    <t>菠菜小糖</t>
  </si>
  <si>
    <t>F3-033</t>
  </si>
  <si>
    <t>儿童</t>
  </si>
  <si>
    <t>赵晓玥</t>
  </si>
  <si>
    <t>吾名堂</t>
  </si>
  <si>
    <t>F3-034</t>
  </si>
  <si>
    <t>张明</t>
  </si>
  <si>
    <t>森虎儿</t>
  </si>
  <si>
    <t>F3-035</t>
  </si>
  <si>
    <t>余欢</t>
  </si>
  <si>
    <t>LT DUCK</t>
  </si>
  <si>
    <t>F3-036</t>
  </si>
  <si>
    <t>蒲志成</t>
  </si>
  <si>
    <t>XHOHO Kids</t>
  </si>
  <si>
    <t>F3-037</t>
  </si>
  <si>
    <t>倪豪</t>
  </si>
  <si>
    <t>皇室童缘</t>
  </si>
  <si>
    <t>F3-038</t>
  </si>
  <si>
    <t>儿童服装</t>
  </si>
  <si>
    <t>罗德辉</t>
  </si>
  <si>
    <t>洛小米</t>
  </si>
  <si>
    <t>F3-039</t>
  </si>
  <si>
    <t>陈永群</t>
  </si>
  <si>
    <t>路易迪高</t>
  </si>
  <si>
    <t>F3-040</t>
  </si>
  <si>
    <t>黄小露</t>
  </si>
  <si>
    <t>杰米熊</t>
  </si>
  <si>
    <t>F3-041</t>
  </si>
  <si>
    <t>陈其淇</t>
  </si>
  <si>
    <t>爱婴室</t>
  </si>
  <si>
    <t>F3-043</t>
  </si>
  <si>
    <r>
      <rPr>
        <sz val="10"/>
        <rFont val="宋体"/>
        <family val="3"/>
        <charset val="134"/>
      </rPr>
      <t>儿童</t>
    </r>
    <r>
      <rPr>
        <sz val="10"/>
        <rFont val="Arial"/>
        <family val="2"/>
      </rPr>
      <t>-</t>
    </r>
    <r>
      <rPr>
        <sz val="10"/>
        <rFont val="宋体"/>
        <family val="3"/>
        <charset val="134"/>
      </rPr>
      <t>孕婴</t>
    </r>
    <r>
      <rPr>
        <sz val="10"/>
        <rFont val="Arial"/>
        <family val="2"/>
      </rPr>
      <t>-</t>
    </r>
    <r>
      <rPr>
        <sz val="10"/>
        <rFont val="宋体"/>
        <family val="3"/>
        <charset val="134"/>
      </rPr>
      <t>集合店</t>
    </r>
  </si>
  <si>
    <t>重庆泰诚实业有限公司</t>
  </si>
  <si>
    <t>动趣迷卡</t>
  </si>
  <si>
    <t>F3-044/045/046</t>
  </si>
  <si>
    <t>儿童游乐</t>
  </si>
  <si>
    <t>唐伟林</t>
  </si>
  <si>
    <t>90、15%</t>
  </si>
  <si>
    <t>90、16%</t>
  </si>
  <si>
    <t>90、17%</t>
  </si>
  <si>
    <t xml:space="preserve"> </t>
  </si>
  <si>
    <t>月营业额5%</t>
  </si>
  <si>
    <t>七秒易购</t>
  </si>
  <si>
    <t>F3-051</t>
  </si>
  <si>
    <t>儿童零售集合店</t>
  </si>
  <si>
    <t>陆小虎</t>
  </si>
  <si>
    <t>爱派KTV</t>
  </si>
  <si>
    <t>F4-001</t>
  </si>
  <si>
    <t>KTV</t>
  </si>
  <si>
    <t>牟恩桥</t>
  </si>
  <si>
    <t>2017.9.28</t>
  </si>
  <si>
    <t>2025.9.27</t>
  </si>
  <si>
    <t>惊喜串串</t>
  </si>
  <si>
    <t>F4-002/003</t>
  </si>
  <si>
    <t>邓宜俊</t>
  </si>
  <si>
    <t>番茄赞</t>
  </si>
  <si>
    <t>F4-004/F4-007-1</t>
  </si>
  <si>
    <t>彭乐聪</t>
  </si>
  <si>
    <t>筱熙家炭火烤肉</t>
  </si>
  <si>
    <t>F4-005</t>
  </si>
  <si>
    <t>郑昊</t>
  </si>
  <si>
    <t>綦小妹</t>
  </si>
  <si>
    <t>F4-006</t>
  </si>
  <si>
    <t>王叶</t>
  </si>
  <si>
    <t>恋锅鸭爪爪</t>
  </si>
  <si>
    <t>F4-007-2/008</t>
  </si>
  <si>
    <t>宫丹丹</t>
  </si>
  <si>
    <t>陈蹄花</t>
  </si>
  <si>
    <t>F4-009/010</t>
  </si>
  <si>
    <t>重庆陈蹄花饮食文化有限公司</t>
  </si>
  <si>
    <t>2029.7.29</t>
  </si>
  <si>
    <t>阿米山</t>
  </si>
  <si>
    <t>F4-011</t>
  </si>
  <si>
    <t>刘欢</t>
  </si>
  <si>
    <t>虾炒蟹闹</t>
  </si>
  <si>
    <t>F4-012</t>
  </si>
  <si>
    <t>周海坚</t>
  </si>
  <si>
    <t>暂定名御柴源烤鸭、藕然间</t>
  </si>
  <si>
    <t>F4-013</t>
  </si>
  <si>
    <t>黄世卫</t>
  </si>
  <si>
    <t>UFE影城</t>
  </si>
  <si>
    <t>F4-014</t>
  </si>
  <si>
    <t>重庆思远影业有限公司</t>
  </si>
  <si>
    <t>2018.08.01</t>
  </si>
  <si>
    <t>2034.01.31</t>
  </si>
  <si>
    <t>保底加提成</t>
  </si>
  <si>
    <t>冠军牛</t>
  </si>
  <si>
    <t>F4-015/016</t>
  </si>
  <si>
    <t>李成林</t>
  </si>
  <si>
    <t>海皇姬</t>
  </si>
  <si>
    <t>F4-017</t>
  </si>
  <si>
    <t>田筠</t>
  </si>
  <si>
    <t>2（1-2季度分配）</t>
  </si>
  <si>
    <t>缇缦铁板烧</t>
  </si>
  <si>
    <t>F4-018</t>
  </si>
  <si>
    <t>欧家明</t>
  </si>
  <si>
    <t>波菲特</t>
  </si>
  <si>
    <t>F4-019/020-1</t>
  </si>
  <si>
    <t>王信</t>
  </si>
  <si>
    <t>凯旋门海鲜自助火锅</t>
  </si>
  <si>
    <t>F4-020-2/021/022</t>
  </si>
  <si>
    <t>李勇</t>
  </si>
  <si>
    <t>悠伴西餐厅</t>
  </si>
  <si>
    <t>F4-023</t>
  </si>
  <si>
    <t>冉伟</t>
  </si>
  <si>
    <t>2025.7.29</t>
  </si>
  <si>
    <t>蒸美味</t>
  </si>
  <si>
    <t>F4-024</t>
  </si>
  <si>
    <t>杨建</t>
  </si>
  <si>
    <t>4（1-4季度分配）</t>
  </si>
  <si>
    <t>办公</t>
    <phoneticPr fontId="140" type="noConversion"/>
  </si>
  <si>
    <t>租金</t>
    <phoneticPr fontId="140" type="noConversion"/>
  </si>
  <si>
    <t>售价</t>
    <phoneticPr fontId="140" type="noConversion"/>
  </si>
  <si>
    <r>
      <t>2</t>
    </r>
    <r>
      <rPr>
        <sz val="11"/>
        <color theme="1"/>
        <rFont val="宋体"/>
        <family val="3"/>
        <charset val="134"/>
        <scheme val="minor"/>
      </rPr>
      <t>0-40</t>
    </r>
    <phoneticPr fontId="140" type="noConversion"/>
  </si>
  <si>
    <t>元/㎡·月</t>
    <phoneticPr fontId="140" type="noConversion"/>
  </si>
  <si>
    <r>
      <t>5</t>
    </r>
    <r>
      <rPr>
        <sz val="11"/>
        <color theme="1"/>
        <rFont val="宋体"/>
        <family val="3"/>
        <charset val="134"/>
        <scheme val="minor"/>
      </rPr>
      <t>000-7000</t>
    </r>
    <phoneticPr fontId="140" type="noConversion"/>
  </si>
  <si>
    <t>元/㎡</t>
    <phoneticPr fontId="140" type="noConversion"/>
  </si>
  <si>
    <t>商业</t>
    <phoneticPr fontId="140" type="noConversion"/>
  </si>
  <si>
    <t>租金</t>
    <phoneticPr fontId="140" type="noConversion"/>
  </si>
  <si>
    <r>
      <t>2</t>
    </r>
    <r>
      <rPr>
        <sz val="11"/>
        <color theme="1"/>
        <rFont val="宋体"/>
        <family val="3"/>
        <charset val="134"/>
        <scheme val="minor"/>
      </rPr>
      <t>0000-30000</t>
    </r>
    <phoneticPr fontId="140" type="noConversion"/>
  </si>
  <si>
    <t>商业中介提供参考</t>
    <phoneticPr fontId="140" type="noConversion"/>
  </si>
  <si>
    <r>
      <t>2层</t>
    </r>
    <r>
      <rPr>
        <sz val="11"/>
        <color theme="1"/>
        <rFont val="宋体"/>
        <family val="3"/>
        <charset val="134"/>
        <scheme val="minor"/>
      </rPr>
      <t>60平</t>
    </r>
    <phoneticPr fontId="140" type="noConversion"/>
  </si>
  <si>
    <r>
      <t>4层</t>
    </r>
    <r>
      <rPr>
        <sz val="11"/>
        <color theme="1"/>
        <rFont val="宋体"/>
        <family val="3"/>
        <charset val="134"/>
        <scheme val="minor"/>
      </rPr>
      <t>70平</t>
    </r>
    <phoneticPr fontId="140" type="noConversion"/>
  </si>
  <si>
    <t>周边住宅</t>
    <phoneticPr fontId="140" type="noConversion"/>
  </si>
  <si>
    <t>售价</t>
    <phoneticPr fontId="140" type="noConversion"/>
  </si>
  <si>
    <t>5000-6500</t>
    <phoneticPr fontId="140" type="noConversion"/>
  </si>
  <si>
    <r>
      <rPr>
        <sz val="11"/>
        <color indexed="8"/>
        <rFont val="宋体"/>
        <family val="3"/>
        <charset val="134"/>
      </rPr>
      <t>綦江区调整綦江区城市建设配套费征收标准</t>
    </r>
    <r>
      <rPr>
        <sz val="11"/>
        <color indexed="8"/>
        <rFont val="Arial"/>
        <family val="2"/>
      </rPr>
      <t>-</t>
    </r>
    <r>
      <rPr>
        <sz val="11"/>
        <color indexed="8"/>
        <rFont val="宋体"/>
        <family val="3"/>
        <charset val="134"/>
      </rPr>
      <t>綦江府发〔</t>
    </r>
    <r>
      <rPr>
        <sz val="11"/>
        <color indexed="8"/>
        <rFont val="Arial"/>
        <family val="2"/>
      </rPr>
      <t>2013</t>
    </r>
    <r>
      <rPr>
        <sz val="11"/>
        <color indexed="8"/>
        <rFont val="宋体"/>
        <family val="3"/>
        <charset val="134"/>
      </rPr>
      <t>〕</t>
    </r>
    <r>
      <rPr>
        <sz val="11"/>
        <color indexed="8"/>
        <rFont val="Arial"/>
        <family val="2"/>
      </rPr>
      <t>11</t>
    </r>
    <r>
      <rPr>
        <sz val="11"/>
        <color indexed="8"/>
        <rFont val="宋体"/>
        <family val="3"/>
        <charset val="134"/>
      </rPr>
      <t>号</t>
    </r>
    <phoneticPr fontId="3" type="noConversion"/>
  </si>
  <si>
    <t>五通</t>
    <phoneticPr fontId="31" type="noConversion"/>
  </si>
  <si>
    <t>三通</t>
    <phoneticPr fontId="31" type="noConversion"/>
  </si>
  <si>
    <t>六通</t>
    <phoneticPr fontId="31" type="noConversion"/>
  </si>
  <si>
    <t>四通</t>
    <phoneticPr fontId="31" type="noConversion"/>
  </si>
  <si>
    <t>建筑面积</t>
    <phoneticPr fontId="140" type="noConversion"/>
  </si>
  <si>
    <t>坐落</t>
    <phoneticPr fontId="140" type="noConversion"/>
  </si>
  <si>
    <t>不动产权证号</t>
    <phoneticPr fontId="140" type="noConversion"/>
  </si>
  <si>
    <t>序号</t>
    <phoneticPr fontId="140" type="noConversion"/>
  </si>
  <si>
    <t>綦江区文龙街道九龙大道15号名扬国际广场（负一层）</t>
    <phoneticPr fontId="140" type="noConversion"/>
  </si>
  <si>
    <t>綦江区文龙街道九龙大道15号名扬国际广场（一层）</t>
    <phoneticPr fontId="140" type="noConversion"/>
  </si>
  <si>
    <t>綦江区文龙街道九龙大道15号名扬国际广场（四层）</t>
    <phoneticPr fontId="140" type="noConversion"/>
  </si>
  <si>
    <t>綦江区文龙街道九龙大道15号名扬国际广场（二层）</t>
    <phoneticPr fontId="140" type="noConversion"/>
  </si>
  <si>
    <t>綦江区文龙街道九龙大道15号名扬国际广场（三层）</t>
    <phoneticPr fontId="140" type="noConversion"/>
  </si>
  <si>
    <t>綦江区文龙街道九龙大道15号名扬国际广场（一至四层）</t>
    <phoneticPr fontId="140" type="noConversion"/>
  </si>
  <si>
    <t>綦江区文龙街道九龙大道15号名扬国际广场2-2-2</t>
    <phoneticPr fontId="140" type="noConversion"/>
  </si>
  <si>
    <t>綦江区文龙街道九龙大道15号名扬国际广场2-2-4</t>
    <phoneticPr fontId="140" type="noConversion"/>
  </si>
  <si>
    <t>綦江区文龙街道九龙大道15号名扬国际广场2-2-7</t>
    <phoneticPr fontId="140" type="noConversion"/>
  </si>
  <si>
    <t>綦江区文龙街道九龙大道15号名扬国际广场附30号</t>
    <phoneticPr fontId="140" type="noConversion"/>
  </si>
  <si>
    <t>綦江区文龙街道九龙大道15号名扬国际广场1一幢7层</t>
    <phoneticPr fontId="140" type="noConversion"/>
  </si>
  <si>
    <t>綦江区文龙街道九龙大道15号名扬国际广场1一幢8层</t>
  </si>
  <si>
    <t>綦江区文龙街道九龙大道15号名扬国际广场1一幢9层</t>
  </si>
  <si>
    <t>綦江区文龙街道九龙大道15号名扬国际广场1一幢10层</t>
  </si>
  <si>
    <t>綦江区文龙街道九龙大道15号名扬国际广场1一幢20层</t>
    <phoneticPr fontId="140" type="noConversion"/>
  </si>
  <si>
    <t>綦江区文龙街道九龙大道15号名扬国际广场1一幢21层</t>
    <phoneticPr fontId="140" type="noConversion"/>
  </si>
  <si>
    <t>綦江区文龙街道九龙大道15号名扬国际广场1一幢24层</t>
    <phoneticPr fontId="140" type="noConversion"/>
  </si>
  <si>
    <t>綦江区文龙街道九龙大道15号名扬国际广场附2号</t>
    <phoneticPr fontId="140" type="noConversion"/>
  </si>
  <si>
    <t>綦江区文龙街道九龙大道15号名扬国际广场附28号</t>
    <phoneticPr fontId="140" type="noConversion"/>
  </si>
  <si>
    <t>綦江区文龙街道九龙大道15号名扬国际广场附29号</t>
    <phoneticPr fontId="140" type="noConversion"/>
  </si>
  <si>
    <t>綦江区文龙街道九龙大道15号名扬国际广场附3号</t>
    <phoneticPr fontId="140" type="noConversion"/>
  </si>
  <si>
    <t>綦江区文龙街道九龙大道15号名扬国际广场附31号</t>
    <phoneticPr fontId="140" type="noConversion"/>
  </si>
  <si>
    <t>綦江区文龙街道九龙大道15号名扬国际广场附32号</t>
    <phoneticPr fontId="140" type="noConversion"/>
  </si>
  <si>
    <t>綦江区文龙街道九龙大道15号名扬国际广场附33号</t>
  </si>
  <si>
    <t>綦江区文龙街道九龙大道15号名扬国际广场附36号</t>
  </si>
  <si>
    <t>綦江区文龙街道九龙大道15号名扬国际广场附37号</t>
  </si>
  <si>
    <t>綦江区文龙街道九龙大道15号名扬国际广场附38号</t>
  </si>
  <si>
    <t>綦江区文龙街道九龙大道15号名扬国际广场附39号</t>
  </si>
  <si>
    <t>綦江区文龙街道九龙大道15号名扬国际广场附35号</t>
    <phoneticPr fontId="140" type="noConversion"/>
  </si>
  <si>
    <t>綦江区文龙街道九龙大道15号名扬国际广场1-1-25</t>
    <phoneticPr fontId="140" type="noConversion"/>
  </si>
  <si>
    <t>綦江区文龙街道九龙大道15号名扬国际广场1-1-81</t>
    <phoneticPr fontId="140" type="noConversion"/>
  </si>
  <si>
    <t>渝(2020)綦江区不动产权第000157709号</t>
    <phoneticPr fontId="140" type="noConversion"/>
  </si>
  <si>
    <t>渝(2020)綦江区不动产权第000157711号</t>
    <phoneticPr fontId="140" type="noConversion"/>
  </si>
  <si>
    <t>渝(2020)綦江区不动产权第000157712号</t>
    <phoneticPr fontId="140" type="noConversion"/>
  </si>
  <si>
    <t>渝(2020)綦江区不动产权第000157710号</t>
    <phoneticPr fontId="140" type="noConversion"/>
  </si>
  <si>
    <t>渝(2020)綦江区不动产权第000157713号</t>
    <phoneticPr fontId="140" type="noConversion"/>
  </si>
  <si>
    <t>渝(2020)綦江区不动产权第000157714号</t>
    <phoneticPr fontId="140" type="noConversion"/>
  </si>
  <si>
    <t>渝(2020)綦江区不动产权第000157715号</t>
    <phoneticPr fontId="140" type="noConversion"/>
  </si>
  <si>
    <t>渝(2020)綦江区不动产权第000157716号</t>
    <phoneticPr fontId="140" type="noConversion"/>
  </si>
  <si>
    <t>渝(2020)綦江区不动产权第000157717号</t>
    <phoneticPr fontId="140" type="noConversion"/>
  </si>
  <si>
    <t>渝(2020)綦江区不动产权第000157718号</t>
    <phoneticPr fontId="140" type="noConversion"/>
  </si>
  <si>
    <t>渝(2020)綦江区不动产权第000157719号</t>
    <phoneticPr fontId="140" type="noConversion"/>
  </si>
  <si>
    <t>渝(2020)綦江区不动产权第000157720号</t>
    <phoneticPr fontId="140" type="noConversion"/>
  </si>
  <si>
    <t>渝(2020)綦江区不动产权第000157721号</t>
    <phoneticPr fontId="140" type="noConversion"/>
  </si>
  <si>
    <t>渝(2018)綦江区不动产权第000943999号</t>
    <phoneticPr fontId="140" type="noConversion"/>
  </si>
  <si>
    <t>渝(2018)綦江区不动产权第000943996号</t>
    <phoneticPr fontId="140" type="noConversion"/>
  </si>
  <si>
    <t>渝(2018)綦江区不动产权第000944000号</t>
    <phoneticPr fontId="140" type="noConversion"/>
  </si>
  <si>
    <t>渝(2018)綦江区不动产权第000943998号</t>
    <phoneticPr fontId="140" type="noConversion"/>
  </si>
  <si>
    <t>渝(2018)綦江区不动产权第000943993号</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</si>
</sst>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409]yyyy/m/d\ h:mm\ AM/PM;@"/>
    <numFmt numFmtId="198" formatCode="0.00_);\(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5"/>
      <color theme="1"/>
      <name val="Times New Roman"/>
      <family val="1"/>
    </font>
    <font>
      <sz val="9"/>
      <color theme="1"/>
      <name val="宋体"/>
      <family val="3"/>
      <charset val="134"/>
    </font>
    <font>
      <sz val="9"/>
      <color rgb="FF000000"/>
      <name val="宋体"/>
      <family val="3"/>
      <charset val="134"/>
    </font>
    <font>
      <b/>
      <sz val="10.5"/>
      <color rgb="FF000000"/>
      <name val="宋体"/>
      <family val="3"/>
      <charset val="134"/>
    </font>
    <font>
      <sz val="10"/>
      <color theme="1"/>
      <name val="Times New Roman"/>
      <family val="1"/>
    </font>
    <font>
      <sz val="11"/>
      <color rgb="FF000000"/>
      <name val="宋体"/>
      <family val="3"/>
      <charset val="134"/>
    </font>
    <font>
      <b/>
      <sz val="11"/>
      <color rgb="FF000000"/>
      <name val="宋体"/>
      <family val="3"/>
      <charset val="134"/>
    </font>
    <font>
      <b/>
      <sz val="10"/>
      <color indexed="9"/>
      <name val="Arial Unicode MS"/>
      <family val="2"/>
      <charset val="134"/>
    </font>
    <font>
      <b/>
      <sz val="10"/>
      <color rgb="FFFFFFFF"/>
      <name val="Arial"/>
      <family val="2"/>
    </font>
    <font>
      <b/>
      <sz val="10"/>
      <color theme="0"/>
      <name val="宋体"/>
      <family val="3"/>
      <charset val="134"/>
    </font>
    <font>
      <b/>
      <sz val="10"/>
      <color rgb="FFFFFFFF"/>
      <name val="宋体"/>
      <family val="3"/>
      <charset val="134"/>
    </font>
    <font>
      <b/>
      <sz val="10"/>
      <color theme="0"/>
      <name val="Arial Unicode MS"/>
      <family val="2"/>
      <charset val="134"/>
    </font>
    <font>
      <b/>
      <sz val="10"/>
      <color indexed="9"/>
      <name val="Arial"/>
      <family val="2"/>
    </font>
    <font>
      <b/>
      <sz val="10"/>
      <color rgb="FFFF0000"/>
      <name val="Arial Unicode MS"/>
      <family val="2"/>
      <charset val="134"/>
    </font>
    <font>
      <b/>
      <sz val="10"/>
      <name val="Arial Unicode MS"/>
      <family val="2"/>
      <charset val="134"/>
    </font>
    <font>
      <sz val="10"/>
      <color rgb="FF00B050"/>
      <name val="Arial"/>
      <family val="2"/>
    </font>
    <font>
      <sz val="10"/>
      <color rgb="FF00B050"/>
      <name val="宋体"/>
      <family val="3"/>
      <charset val="134"/>
    </font>
    <font>
      <b/>
      <sz val="10"/>
      <color rgb="FF00B050"/>
      <name val="Arial"/>
      <family val="2"/>
    </font>
    <font>
      <sz val="10"/>
      <name val="宋体"/>
      <family val="3"/>
      <charset val="134"/>
      <scheme val="minor"/>
    </font>
  </fonts>
  <fills count="2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2"/>
        <bgColor indexed="64"/>
      </patternFill>
    </fill>
    <fill>
      <patternFill patternType="solid">
        <fgColor rgb="FFF2F2F2"/>
        <bgColor indexed="64"/>
      </patternFill>
    </fill>
    <fill>
      <patternFill patternType="solid">
        <fgColor rgb="FFD9D9D9"/>
        <bgColor indexed="64"/>
      </patternFill>
    </fill>
    <fill>
      <patternFill patternType="solid">
        <fgColor theme="4"/>
        <bgColor indexed="64"/>
      </patternFill>
    </fill>
    <fill>
      <patternFill patternType="solid">
        <fgColor rgb="FF5B9BD5"/>
        <bgColor indexed="64"/>
      </patternFill>
    </fill>
    <fill>
      <patternFill patternType="solid">
        <fgColor rgb="FF4682B4"/>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rgb="FF00B0F0"/>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right style="medium">
        <color rgb="FF000000"/>
      </right>
      <top style="medium">
        <color indexed="64"/>
      </top>
      <bottom style="medium">
        <color indexed="64"/>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xf numFmtId="0" fontId="55" fillId="0" borderId="0"/>
  </cellStyleXfs>
  <cellXfs count="37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42" fillId="21" borderId="82" xfId="0" applyFont="1" applyFill="1" applyBorder="1" applyAlignment="1">
      <alignment horizontal="center" vertical="center" wrapText="1"/>
    </xf>
    <xf numFmtId="0" fontId="142" fillId="21" borderId="65" xfId="0" applyFont="1" applyFill="1" applyBorder="1" applyAlignment="1">
      <alignment horizontal="center" vertical="center" wrapText="1"/>
    </xf>
    <xf numFmtId="0" fontId="169" fillId="22" borderId="82" xfId="0" applyFont="1" applyFill="1" applyBorder="1" applyAlignment="1">
      <alignment horizontal="center" vertical="center"/>
    </xf>
    <xf numFmtId="0" fontId="169" fillId="22" borderId="65" xfId="0" applyFont="1" applyFill="1" applyBorder="1" applyAlignment="1">
      <alignment horizontal="center" vertical="center"/>
    </xf>
    <xf numFmtId="0" fontId="256" fillId="0" borderId="81" xfId="0" applyFont="1" applyBorder="1" applyAlignment="1">
      <alignment horizontal="center" vertical="center" wrapText="1"/>
    </xf>
    <xf numFmtId="0" fontId="256" fillId="0" borderId="43" xfId="0" applyFont="1" applyBorder="1" applyAlignment="1">
      <alignment horizontal="center" vertical="center" wrapText="1"/>
    </xf>
    <xf numFmtId="0" fontId="257" fillId="0" borderId="81" xfId="0" applyFont="1" applyBorder="1" applyAlignment="1">
      <alignment horizontal="center" vertical="center"/>
    </xf>
    <xf numFmtId="0" fontId="257" fillId="0" borderId="43" xfId="0" applyFont="1" applyBorder="1" applyAlignment="1">
      <alignment horizontal="center" vertical="center"/>
    </xf>
    <xf numFmtId="0" fontId="257" fillId="0" borderId="43" xfId="0" applyFont="1" applyBorder="1" applyAlignment="1">
      <alignment horizontal="center" vertical="center" wrapText="1"/>
    </xf>
    <xf numFmtId="0" fontId="256" fillId="12" borderId="81" xfId="0" applyFont="1" applyFill="1" applyBorder="1" applyAlignment="1">
      <alignment horizontal="center" vertical="center" wrapText="1"/>
    </xf>
    <xf numFmtId="0" fontId="142" fillId="20" borderId="63" xfId="0" applyFont="1" applyFill="1" applyBorder="1" applyAlignment="1">
      <alignment vertical="center" wrapText="1"/>
    </xf>
    <xf numFmtId="0" fontId="258" fillId="0" borderId="43" xfId="0" applyFont="1" applyBorder="1" applyAlignment="1">
      <alignment horizontal="center" vertical="center"/>
    </xf>
    <xf numFmtId="0" fontId="259" fillId="0" borderId="43" xfId="0" applyFont="1" applyBorder="1" applyAlignment="1">
      <alignment vertical="center"/>
    </xf>
    <xf numFmtId="0" fontId="261" fillId="20" borderId="43" xfId="0" applyFont="1" applyFill="1" applyBorder="1" applyAlignment="1">
      <alignment horizontal="center" vertical="center"/>
    </xf>
    <xf numFmtId="0" fontId="259" fillId="20" borderId="43" xfId="0" applyFont="1" applyFill="1" applyBorder="1" applyAlignment="1">
      <alignment vertical="center"/>
    </xf>
    <xf numFmtId="0" fontId="256" fillId="5" borderId="81" xfId="0" applyFont="1" applyFill="1" applyBorder="1" applyAlignment="1">
      <alignment horizontal="center" vertical="center" wrapText="1"/>
    </xf>
    <xf numFmtId="0" fontId="256" fillId="5" borderId="43" xfId="0" applyFont="1" applyFill="1" applyBorder="1" applyAlignment="1">
      <alignment horizontal="center" vertical="center" wrapText="1"/>
    </xf>
    <xf numFmtId="0" fontId="260" fillId="5" borderId="81" xfId="0" applyFont="1" applyFill="1" applyBorder="1" applyAlignment="1">
      <alignment horizontal="center" vertical="center"/>
    </xf>
    <xf numFmtId="0" fontId="128" fillId="5" borderId="43" xfId="0" applyFont="1" applyFill="1" applyBorder="1" applyAlignment="1">
      <alignment horizontal="center" vertical="center" wrapText="1"/>
    </xf>
    <xf numFmtId="0" fontId="257" fillId="5" borderId="43" xfId="0" applyFont="1" applyFill="1" applyBorder="1" applyAlignment="1">
      <alignment horizontal="left" vertical="center" wrapText="1"/>
    </xf>
    <xf numFmtId="0" fontId="169" fillId="5" borderId="43" xfId="0" applyFont="1" applyFill="1" applyBorder="1" applyAlignment="1">
      <alignment horizontal="center" vertical="center"/>
    </xf>
    <xf numFmtId="0" fontId="256" fillId="5" borderId="43" xfId="0" applyFont="1" applyFill="1" applyBorder="1" applyAlignment="1">
      <alignment horizontal="left" vertical="center" wrapText="1"/>
    </xf>
    <xf numFmtId="0" fontId="260" fillId="5" borderId="43" xfId="0" applyFont="1" applyFill="1" applyBorder="1" applyAlignment="1">
      <alignment horizontal="center" vertical="center"/>
    </xf>
    <xf numFmtId="0" fontId="256" fillId="9" borderId="81" xfId="0" applyFont="1" applyFill="1" applyBorder="1" applyAlignment="1">
      <alignment horizontal="center" vertical="center" wrapText="1"/>
    </xf>
    <xf numFmtId="0" fontId="256" fillId="9" borderId="43" xfId="0" applyFont="1" applyFill="1" applyBorder="1" applyAlignment="1">
      <alignment horizontal="center" vertical="center" wrapText="1"/>
    </xf>
    <xf numFmtId="0" fontId="260" fillId="9" borderId="81" xfId="0" applyFont="1" applyFill="1" applyBorder="1" applyAlignment="1">
      <alignment horizontal="center" vertical="center"/>
    </xf>
    <xf numFmtId="0" fontId="169" fillId="9" borderId="43" xfId="0" applyFont="1" applyFill="1" applyBorder="1" applyAlignment="1">
      <alignment horizontal="center" vertical="center"/>
    </xf>
    <xf numFmtId="0" fontId="256" fillId="9" borderId="43" xfId="0" applyFont="1" applyFill="1" applyBorder="1" applyAlignment="1">
      <alignment horizontal="left" vertical="center" wrapText="1"/>
    </xf>
    <xf numFmtId="0" fontId="260" fillId="9" borderId="43" xfId="0" applyFont="1" applyFill="1" applyBorder="1" applyAlignment="1">
      <alignment horizontal="center" vertical="center"/>
    </xf>
    <xf numFmtId="0" fontId="0" fillId="0" borderId="1" xfId="0" applyBorder="1" applyAlignment="1"/>
    <xf numFmtId="0" fontId="98" fillId="0" borderId="1" xfId="0" applyFont="1" applyBorder="1" applyAlignment="1"/>
    <xf numFmtId="177" fontId="79" fillId="0" borderId="1" xfId="1" applyNumberFormat="1" applyFont="1" applyFill="1" applyBorder="1" applyAlignment="1" applyProtection="1">
      <alignment vertical="center"/>
      <protection locked="0" hidden="1"/>
    </xf>
    <xf numFmtId="0" fontId="79" fillId="12" borderId="0" xfId="0" applyFont="1" applyFill="1" applyAlignment="1" applyProtection="1">
      <alignment vertical="center"/>
      <protection locked="0"/>
    </xf>
    <xf numFmtId="0" fontId="55" fillId="0" borderId="0" xfId="17"/>
    <xf numFmtId="0" fontId="55" fillId="9" borderId="0" xfId="17" applyFill="1"/>
    <xf numFmtId="0" fontId="0" fillId="9" borderId="0" xfId="0" applyFill="1">
      <alignment vertical="center"/>
    </xf>
    <xf numFmtId="0" fontId="55" fillId="8" borderId="0" xfId="17" applyFill="1"/>
    <xf numFmtId="0" fontId="0" fillId="8" borderId="0" xfId="0" applyFill="1">
      <alignment vertical="center"/>
    </xf>
    <xf numFmtId="49" fontId="134" fillId="2" borderId="26" xfId="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0" fontId="97" fillId="2" borderId="14" xfId="0" applyNumberFormat="1" applyFont="1" applyFill="1" applyBorder="1" applyAlignment="1" applyProtection="1">
      <alignment horizontal="center" vertical="center" wrapText="1"/>
      <protection locked="0"/>
    </xf>
    <xf numFmtId="49" fontId="97" fillId="2" borderId="35" xfId="0" applyNumberFormat="1" applyFont="1" applyFill="1" applyBorder="1" applyAlignment="1" applyProtection="1">
      <alignment horizontal="center" vertical="center" wrapText="1"/>
      <protection locked="0"/>
    </xf>
    <xf numFmtId="49" fontId="97" fillId="2" borderId="14"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0" fontId="97" fillId="2" borderId="37" xfId="0" applyNumberFormat="1" applyFont="1" applyFill="1" applyBorder="1" applyAlignment="1" applyProtection="1">
      <alignment horizontal="center" vertical="center" wrapText="1"/>
      <protection locked="0"/>
    </xf>
    <xf numFmtId="0" fontId="97" fillId="2" borderId="7" xfId="0" applyNumberFormat="1" applyFont="1" applyFill="1" applyBorder="1" applyAlignment="1" applyProtection="1">
      <alignment horizontal="center" vertical="center" wrapText="1"/>
      <protection locked="0"/>
    </xf>
    <xf numFmtId="0" fontId="134" fillId="2" borderId="69" xfId="0" applyNumberFormat="1" applyFont="1" applyFill="1" applyBorder="1" applyAlignment="1" applyProtection="1">
      <alignment horizontal="center" vertical="center" wrapText="1"/>
      <protection locked="0"/>
    </xf>
    <xf numFmtId="0" fontId="134" fillId="2" borderId="60" xfId="0" applyNumberFormat="1" applyFont="1" applyFill="1" applyBorder="1" applyAlignment="1" applyProtection="1">
      <alignment horizontal="center" vertical="center" wrapText="1"/>
      <protection locked="0"/>
    </xf>
    <xf numFmtId="0" fontId="150" fillId="23" borderId="0" xfId="18" applyFont="1" applyFill="1" applyBorder="1" applyAlignment="1">
      <alignment horizontal="center" vertical="center" wrapText="1"/>
    </xf>
    <xf numFmtId="0" fontId="150" fillId="23" borderId="0" xfId="18" applyFont="1" applyFill="1" applyBorder="1" applyAlignment="1">
      <alignment vertical="center" wrapText="1"/>
    </xf>
    <xf numFmtId="0" fontId="55" fillId="0" borderId="0" xfId="18" applyFont="1" applyBorder="1"/>
    <xf numFmtId="0" fontId="150" fillId="23" borderId="2" xfId="18" applyFont="1" applyFill="1" applyBorder="1" applyAlignment="1">
      <alignment horizontal="center" vertical="center" wrapText="1"/>
    </xf>
    <xf numFmtId="0" fontId="150" fillId="23" borderId="2" xfId="18" applyFont="1" applyFill="1" applyBorder="1" applyAlignment="1">
      <alignment horizontal="left" vertical="center" wrapText="1"/>
    </xf>
    <xf numFmtId="0" fontId="263" fillId="25" borderId="2" xfId="18" applyFont="1" applyFill="1" applyBorder="1" applyAlignment="1">
      <alignment horizontal="center" vertical="center"/>
    </xf>
    <xf numFmtId="0" fontId="264" fillId="23" borderId="2" xfId="18" applyFont="1" applyFill="1" applyBorder="1" applyAlignment="1">
      <alignment horizontal="center" vertical="center" wrapText="1"/>
    </xf>
    <xf numFmtId="0" fontId="265" fillId="25" borderId="2" xfId="18" applyFont="1" applyFill="1" applyBorder="1" applyAlignment="1">
      <alignment horizontal="center" vertical="center"/>
    </xf>
    <xf numFmtId="0" fontId="265" fillId="25" borderId="2" xfId="18" applyFont="1" applyFill="1" applyBorder="1" applyAlignment="1">
      <alignment vertical="center"/>
    </xf>
    <xf numFmtId="0" fontId="266" fillId="23" borderId="2" xfId="18" applyFont="1" applyFill="1" applyBorder="1" applyAlignment="1">
      <alignment horizontal="center" vertical="center" wrapText="1"/>
    </xf>
    <xf numFmtId="0" fontId="264" fillId="24" borderId="2" xfId="18" applyFont="1" applyFill="1" applyBorder="1" applyAlignment="1">
      <alignment horizontal="center" vertical="center" wrapText="1"/>
    </xf>
    <xf numFmtId="197" fontId="266" fillId="24" borderId="2" xfId="1" applyNumberFormat="1" applyFont="1" applyFill="1" applyBorder="1" applyAlignment="1">
      <alignment horizontal="center" vertical="center" wrapText="1"/>
    </xf>
    <xf numFmtId="0" fontId="266" fillId="7" borderId="2" xfId="18" applyFont="1" applyFill="1" applyBorder="1" applyAlignment="1">
      <alignment horizontal="center" vertical="center" wrapText="1"/>
    </xf>
    <xf numFmtId="0" fontId="145" fillId="26" borderId="1" xfId="18" applyFont="1" applyFill="1" applyBorder="1" applyAlignment="1">
      <alignment horizontal="center" vertical="center" wrapText="1"/>
    </xf>
    <xf numFmtId="0" fontId="144" fillId="26" borderId="1" xfId="18" applyFont="1" applyFill="1" applyBorder="1" applyAlignment="1">
      <alignment horizontal="center" vertical="center" wrapText="1"/>
    </xf>
    <xf numFmtId="0" fontId="145" fillId="26" borderId="1" xfId="18" applyFont="1" applyFill="1" applyBorder="1" applyAlignment="1">
      <alignment horizontal="right" vertical="center" wrapText="1"/>
    </xf>
    <xf numFmtId="0" fontId="144" fillId="26" borderId="1" xfId="18" applyFont="1" applyFill="1" applyBorder="1" applyAlignment="1">
      <alignment horizontal="center" vertical="center"/>
    </xf>
    <xf numFmtId="0" fontId="144" fillId="26" borderId="1" xfId="18" applyFont="1" applyFill="1" applyBorder="1" applyAlignment="1">
      <alignment vertical="center"/>
    </xf>
    <xf numFmtId="9" fontId="268" fillId="26" borderId="1" xfId="18" applyNumberFormat="1" applyFont="1" applyFill="1" applyBorder="1" applyAlignment="1">
      <alignment horizontal="center" vertical="center" wrapText="1"/>
    </xf>
    <xf numFmtId="0" fontId="268" fillId="26" borderId="1" xfId="18" applyFont="1" applyFill="1" applyBorder="1" applyAlignment="1">
      <alignment horizontal="center" vertical="center" wrapText="1"/>
    </xf>
    <xf numFmtId="0" fontId="268" fillId="7" borderId="1" xfId="18" applyFont="1" applyFill="1" applyBorder="1" applyAlignment="1">
      <alignment horizontal="center" vertical="center" wrapText="1"/>
    </xf>
    <xf numFmtId="197" fontId="269" fillId="26" borderId="1" xfId="1" applyNumberFormat="1" applyFont="1" applyFill="1" applyBorder="1" applyAlignment="1">
      <alignment horizontal="center" vertical="center" wrapText="1"/>
    </xf>
    <xf numFmtId="0" fontId="55" fillId="26" borderId="0" xfId="18" applyFont="1" applyFill="1" applyBorder="1"/>
    <xf numFmtId="0" fontId="55" fillId="0" borderId="1" xfId="0" applyFont="1" applyFill="1" applyBorder="1" applyAlignment="1">
      <alignment horizontal="center"/>
    </xf>
    <xf numFmtId="0" fontId="19" fillId="0" borderId="1" xfId="0" applyFont="1" applyFill="1" applyBorder="1" applyAlignment="1"/>
    <xf numFmtId="0" fontId="19" fillId="0" borderId="1" xfId="0" applyFont="1" applyFill="1" applyBorder="1" applyAlignment="1">
      <alignment horizontal="center"/>
    </xf>
    <xf numFmtId="0" fontId="19" fillId="7" borderId="1" xfId="0" applyFont="1" applyFill="1" applyBorder="1" applyAlignment="1">
      <alignment horizontal="center"/>
    </xf>
    <xf numFmtId="43" fontId="55" fillId="0" borderId="0" xfId="0" applyNumberFormat="1" applyFont="1" applyFill="1" applyBorder="1" applyAlignment="1"/>
    <xf numFmtId="0" fontId="55" fillId="0" borderId="0" xfId="0" applyFont="1" applyFill="1" applyBorder="1" applyAlignment="1"/>
    <xf numFmtId="0" fontId="56" fillId="7" borderId="1" xfId="18" applyFont="1" applyFill="1" applyBorder="1" applyAlignment="1">
      <alignment horizontal="center" vertical="center" wrapText="1"/>
    </xf>
    <xf numFmtId="0" fontId="19" fillId="7" borderId="1" xfId="0" applyFont="1" applyFill="1" applyBorder="1" applyAlignment="1"/>
    <xf numFmtId="0" fontId="55" fillId="7" borderId="0" xfId="0" applyFont="1" applyFill="1" applyBorder="1" applyAlignment="1"/>
    <xf numFmtId="0" fontId="55" fillId="7" borderId="1" xfId="0" applyFont="1" applyFill="1" applyBorder="1" applyAlignment="1">
      <alignment horizontal="center"/>
    </xf>
    <xf numFmtId="43" fontId="55" fillId="7" borderId="0" xfId="0" applyNumberFormat="1" applyFont="1" applyFill="1" applyBorder="1" applyAlignment="1"/>
    <xf numFmtId="0" fontId="118" fillId="7" borderId="1" xfId="0" applyFont="1" applyFill="1" applyBorder="1" applyAlignment="1">
      <alignment horizontal="center"/>
    </xf>
    <xf numFmtId="0" fontId="135" fillId="7" borderId="1" xfId="0" applyFont="1" applyFill="1" applyBorder="1" applyAlignment="1"/>
    <xf numFmtId="0" fontId="135" fillId="7" borderId="1" xfId="0" applyFont="1" applyFill="1" applyBorder="1" applyAlignment="1">
      <alignment horizontal="center"/>
    </xf>
    <xf numFmtId="0" fontId="118" fillId="7" borderId="0" xfId="0" applyFont="1" applyFill="1" applyBorder="1" applyAlignment="1"/>
    <xf numFmtId="0" fontId="270" fillId="7" borderId="1" xfId="0" applyFont="1" applyFill="1" applyBorder="1" applyAlignment="1">
      <alignment horizontal="center"/>
    </xf>
    <xf numFmtId="0" fontId="271" fillId="7" borderId="1" xfId="0" applyFont="1" applyFill="1" applyBorder="1" applyAlignment="1"/>
    <xf numFmtId="0" fontId="271" fillId="7" borderId="1" xfId="0" applyFont="1" applyFill="1" applyBorder="1" applyAlignment="1">
      <alignment horizontal="center"/>
    </xf>
    <xf numFmtId="9" fontId="271" fillId="7" borderId="1" xfId="0" applyNumberFormat="1" applyFont="1" applyFill="1" applyBorder="1" applyAlignment="1">
      <alignment horizontal="center"/>
    </xf>
    <xf numFmtId="0" fontId="271" fillId="7" borderId="1" xfId="0" applyNumberFormat="1" applyFont="1" applyFill="1" applyBorder="1" applyAlignment="1" applyProtection="1">
      <alignment horizontal="center"/>
    </xf>
    <xf numFmtId="0" fontId="19" fillId="7" borderId="1" xfId="0" applyNumberFormat="1" applyFont="1" applyFill="1" applyBorder="1" applyAlignment="1" applyProtection="1">
      <alignment horizontal="center"/>
    </xf>
    <xf numFmtId="0" fontId="145" fillId="7" borderId="1" xfId="18" applyFont="1" applyFill="1" applyBorder="1" applyAlignment="1">
      <alignment horizontal="center" vertical="center" wrapText="1"/>
    </xf>
    <xf numFmtId="43" fontId="118" fillId="7" borderId="0" xfId="0" applyNumberFormat="1" applyFont="1" applyFill="1" applyBorder="1" applyAlignment="1"/>
    <xf numFmtId="0" fontId="128" fillId="7" borderId="1" xfId="0" applyFont="1" applyFill="1" applyBorder="1" applyAlignment="1"/>
    <xf numFmtId="0" fontId="272" fillId="7" borderId="1" xfId="18" applyFont="1" applyFill="1" applyBorder="1" applyAlignment="1">
      <alignment horizontal="center" vertical="center" wrapText="1"/>
    </xf>
    <xf numFmtId="0" fontId="19" fillId="7" borderId="1" xfId="0" applyFont="1" applyFill="1" applyBorder="1" applyAlignment="1">
      <alignment horizontal="center" wrapText="1"/>
    </xf>
    <xf numFmtId="0" fontId="106" fillId="7" borderId="1" xfId="18" applyFont="1" applyFill="1" applyBorder="1" applyAlignment="1">
      <alignment horizontal="center" vertical="center" wrapText="1"/>
    </xf>
    <xf numFmtId="0" fontId="128" fillId="7" borderId="1" xfId="0" applyFont="1" applyFill="1" applyBorder="1" applyAlignment="1">
      <alignment horizontal="center"/>
    </xf>
    <xf numFmtId="9" fontId="128" fillId="7" borderId="1" xfId="0" applyNumberFormat="1" applyFont="1" applyFill="1" applyBorder="1" applyAlignment="1">
      <alignment horizontal="center"/>
    </xf>
    <xf numFmtId="0" fontId="128" fillId="7" borderId="1" xfId="0" applyNumberFormat="1" applyFont="1" applyFill="1" applyBorder="1" applyAlignment="1" applyProtection="1">
      <alignment horizontal="center"/>
    </xf>
    <xf numFmtId="0" fontId="103" fillId="7" borderId="0" xfId="0" applyFont="1" applyFill="1" applyBorder="1" applyAlignment="1"/>
    <xf numFmtId="0" fontId="55" fillId="27" borderId="1" xfId="0" applyFont="1" applyFill="1" applyBorder="1" applyAlignment="1">
      <alignment horizontal="center"/>
    </xf>
    <xf numFmtId="0" fontId="19" fillId="27" borderId="1" xfId="0" applyFont="1" applyFill="1" applyBorder="1" applyAlignment="1"/>
    <xf numFmtId="0" fontId="19" fillId="27" borderId="1" xfId="0" applyFont="1" applyFill="1" applyBorder="1" applyAlignment="1">
      <alignment horizontal="center"/>
    </xf>
    <xf numFmtId="43" fontId="55" fillId="27" borderId="0" xfId="0" applyNumberFormat="1" applyFont="1" applyFill="1" applyBorder="1" applyAlignment="1"/>
    <xf numFmtId="0" fontId="55" fillId="27" borderId="0" xfId="0" applyFont="1" applyFill="1" applyBorder="1" applyAlignment="1"/>
    <xf numFmtId="0" fontId="19" fillId="7" borderId="1" xfId="0" applyFont="1" applyFill="1" applyBorder="1" applyAlignment="1">
      <alignment wrapText="1"/>
    </xf>
    <xf numFmtId="0" fontId="103" fillId="7" borderId="1" xfId="0" applyFont="1" applyFill="1" applyBorder="1" applyAlignment="1">
      <alignment horizontal="center"/>
    </xf>
    <xf numFmtId="0" fontId="128" fillId="7" borderId="1" xfId="0" applyFont="1" applyFill="1" applyBorder="1" applyAlignment="1">
      <alignment wrapText="1"/>
    </xf>
    <xf numFmtId="178" fontId="19" fillId="7" borderId="1" xfId="0" applyNumberFormat="1" applyFont="1" applyFill="1" applyBorder="1" applyAlignment="1">
      <alignment horizontal="center"/>
    </xf>
    <xf numFmtId="187" fontId="19" fillId="7" borderId="1" xfId="0" applyNumberFormat="1" applyFont="1" applyFill="1" applyBorder="1" applyAlignment="1">
      <alignment horizontal="center"/>
    </xf>
    <xf numFmtId="198" fontId="19" fillId="7" borderId="1" xfId="0" applyNumberFormat="1" applyFont="1" applyFill="1" applyBorder="1" applyAlignment="1">
      <alignment horizontal="center"/>
    </xf>
    <xf numFmtId="198" fontId="135" fillId="7" borderId="1" xfId="0" applyNumberFormat="1" applyFont="1" applyFill="1" applyBorder="1" applyAlignment="1">
      <alignment horizontal="center"/>
    </xf>
    <xf numFmtId="0" fontId="135" fillId="7" borderId="1" xfId="0" applyFont="1" applyFill="1" applyBorder="1" applyAlignment="1">
      <alignment horizontal="center" wrapText="1"/>
    </xf>
    <xf numFmtId="198" fontId="128" fillId="7" borderId="1" xfId="0" applyNumberFormat="1" applyFont="1" applyFill="1" applyBorder="1" applyAlignment="1">
      <alignment horizontal="center"/>
    </xf>
    <xf numFmtId="0" fontId="128" fillId="7" borderId="1" xfId="0" applyFont="1" applyFill="1" applyBorder="1" applyAlignment="1">
      <alignment horizontal="center" wrapText="1"/>
    </xf>
    <xf numFmtId="198" fontId="19" fillId="27" borderId="1" xfId="0" applyNumberFormat="1" applyFont="1" applyFill="1" applyBorder="1" applyAlignment="1">
      <alignment horizontal="center"/>
    </xf>
    <xf numFmtId="0" fontId="56" fillId="27" borderId="1" xfId="18" applyFont="1" applyFill="1" applyBorder="1" applyAlignment="1">
      <alignment horizontal="center" vertical="center" wrapText="1"/>
    </xf>
    <xf numFmtId="0" fontId="273" fillId="7" borderId="1" xfId="0" applyFont="1" applyFill="1" applyBorder="1" applyAlignment="1"/>
    <xf numFmtId="0" fontId="273" fillId="7" borderId="1" xfId="0" applyFont="1" applyFill="1" applyBorder="1" applyAlignment="1">
      <alignment horizontal="center"/>
    </xf>
    <xf numFmtId="198" fontId="273" fillId="7" borderId="1" xfId="0" applyNumberFormat="1" applyFont="1" applyFill="1" applyBorder="1" applyAlignment="1">
      <alignment horizontal="center"/>
    </xf>
    <xf numFmtId="0" fontId="55" fillId="0" borderId="0" xfId="0" applyFont="1" applyFill="1" applyBorder="1" applyAlignment="1">
      <alignment horizontal="center"/>
    </xf>
    <xf numFmtId="0" fontId="55" fillId="0" borderId="0" xfId="0" applyFont="1" applyFill="1" applyBorder="1" applyAlignment="1">
      <alignment horizontal="left"/>
    </xf>
    <xf numFmtId="0" fontId="55" fillId="7" borderId="0" xfId="0" applyFont="1" applyFill="1" applyBorder="1" applyAlignment="1">
      <alignment horizontal="center"/>
    </xf>
    <xf numFmtId="0" fontId="98" fillId="0" borderId="0" xfId="0" applyFont="1">
      <alignment vertical="center"/>
    </xf>
    <xf numFmtId="0" fontId="46" fillId="28" borderId="23" xfId="0" applyFont="1" applyFill="1" applyBorder="1" applyAlignment="1" applyProtection="1">
      <alignment vertical="center"/>
      <protection locked="0"/>
    </xf>
    <xf numFmtId="0" fontId="46" fillId="28" borderId="5" xfId="0" applyFont="1" applyFill="1" applyBorder="1" applyAlignment="1" applyProtection="1">
      <alignment horizontal="center" vertical="center" wrapText="1"/>
    </xf>
    <xf numFmtId="0" fontId="55" fillId="28" borderId="23" xfId="1" applyFont="1" applyFill="1" applyBorder="1" applyAlignment="1" applyProtection="1"/>
    <xf numFmtId="9" fontId="134" fillId="2" borderId="37"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11" fillId="0" borderId="0" xfId="0" applyFont="1" applyAlignment="1"/>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0" fillId="20" borderId="47" xfId="0" applyFill="1" applyBorder="1" applyAlignment="1">
      <alignment horizontal="center"/>
    </xf>
    <xf numFmtId="0" fontId="142" fillId="21" borderId="63" xfId="0" applyFont="1" applyFill="1" applyBorder="1" applyAlignment="1">
      <alignment horizontal="center" vertical="center" wrapText="1"/>
    </xf>
    <xf numFmtId="0" fontId="142" fillId="21" borderId="65" xfId="0" applyFont="1" applyFill="1" applyBorder="1" applyAlignment="1">
      <alignment horizontal="center" vertical="center" wrapText="1"/>
    </xf>
    <xf numFmtId="0" fontId="255" fillId="0" borderId="18" xfId="0" applyFont="1" applyBorder="1" applyAlignment="1">
      <alignment horizontal="justify" vertical="center" wrapText="1"/>
    </xf>
    <xf numFmtId="0" fontId="255" fillId="0" borderId="0" xfId="0" applyFont="1" applyAlignment="1">
      <alignment horizontal="justify" vertical="center" wrapText="1"/>
    </xf>
    <xf numFmtId="0" fontId="256" fillId="0" borderId="63" xfId="0" applyFont="1" applyBorder="1" applyAlignment="1">
      <alignment horizontal="center" vertical="center" wrapText="1"/>
    </xf>
    <xf numFmtId="0" fontId="256" fillId="0" borderId="65" xfId="0" applyFont="1" applyBorder="1" applyAlignment="1">
      <alignment horizontal="center" vertical="center" wrapText="1"/>
    </xf>
    <xf numFmtId="0" fontId="258" fillId="0" borderId="63" xfId="0" applyFont="1" applyBorder="1" applyAlignment="1">
      <alignment horizontal="center" vertical="center"/>
    </xf>
    <xf numFmtId="0" fontId="258" fillId="0" borderId="65" xfId="0" applyFont="1" applyBorder="1" applyAlignment="1">
      <alignment horizontal="center" vertical="center"/>
    </xf>
    <xf numFmtId="0" fontId="260" fillId="5" borderId="27" xfId="0" applyFont="1" applyFill="1" applyBorder="1" applyAlignment="1">
      <alignment horizontal="center" vertical="center"/>
    </xf>
    <xf numFmtId="0" fontId="260" fillId="5" borderId="80" xfId="0" applyFont="1" applyFill="1" applyBorder="1" applyAlignment="1">
      <alignment horizontal="center" vertical="center"/>
    </xf>
    <xf numFmtId="0" fontId="260" fillId="5" borderId="81" xfId="0" applyFont="1" applyFill="1" applyBorder="1" applyAlignment="1">
      <alignment horizontal="center" vertical="center"/>
    </xf>
    <xf numFmtId="0" fontId="256" fillId="5" borderId="63" xfId="0" applyFont="1" applyFill="1" applyBorder="1" applyAlignment="1">
      <alignment horizontal="center" vertical="center" wrapText="1"/>
    </xf>
    <xf numFmtId="0" fontId="256" fillId="5" borderId="65" xfId="0" applyFont="1" applyFill="1" applyBorder="1" applyAlignment="1">
      <alignment horizontal="center" vertical="center" wrapText="1"/>
    </xf>
    <xf numFmtId="0" fontId="260" fillId="9" borderId="27" xfId="0" applyFont="1" applyFill="1" applyBorder="1" applyAlignment="1">
      <alignment horizontal="center" vertical="center"/>
    </xf>
    <xf numFmtId="0" fontId="260" fillId="9" borderId="80" xfId="0" applyFont="1" applyFill="1" applyBorder="1" applyAlignment="1">
      <alignment horizontal="center" vertical="center"/>
    </xf>
    <xf numFmtId="0" fontId="260" fillId="9" borderId="81" xfId="0" applyFont="1" applyFill="1" applyBorder="1" applyAlignment="1">
      <alignment horizontal="center" vertical="center"/>
    </xf>
    <xf numFmtId="0" fontId="261" fillId="20" borderId="63" xfId="0" applyFont="1" applyFill="1" applyBorder="1" applyAlignment="1">
      <alignment horizontal="center" vertical="center"/>
    </xf>
    <xf numFmtId="0" fontId="261" fillId="20" borderId="160" xfId="0" applyFont="1" applyFill="1" applyBorder="1" applyAlignment="1">
      <alignment horizontal="center" vertical="center"/>
    </xf>
    <xf numFmtId="0" fontId="0" fillId="0" borderId="1" xfId="0" applyBorder="1" applyAlignment="1">
      <alignment horizontal="center" wrapText="1"/>
    </xf>
    <xf numFmtId="0" fontId="256" fillId="9" borderId="63" xfId="0" applyFont="1" applyFill="1" applyBorder="1" applyAlignment="1">
      <alignment horizontal="center" vertical="center" wrapText="1"/>
    </xf>
    <xf numFmtId="0" fontId="256" fillId="9" borderId="65" xfId="0" applyFont="1" applyFill="1" applyBorder="1" applyAlignment="1">
      <alignment horizontal="center" vertical="center" wrapText="1"/>
    </xf>
    <xf numFmtId="0" fontId="142" fillId="20" borderId="63" xfId="0" applyFont="1" applyFill="1" applyBorder="1" applyAlignment="1">
      <alignment horizontal="center" vertical="center" wrapText="1"/>
    </xf>
    <xf numFmtId="0" fontId="142" fillId="20" borderId="65" xfId="0" applyFont="1" applyFill="1" applyBorder="1" applyAlignment="1">
      <alignment horizontal="center" vertical="center" wrapText="1"/>
    </xf>
    <xf numFmtId="0" fontId="256" fillId="20" borderId="63" xfId="0" applyFont="1" applyFill="1" applyBorder="1" applyAlignment="1">
      <alignment horizontal="center" vertical="center" wrapText="1"/>
    </xf>
    <xf numFmtId="0" fontId="256" fillId="20" borderId="65" xfId="0" applyFont="1" applyFill="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50" fillId="23" borderId="0" xfId="18" applyFont="1" applyFill="1" applyBorder="1" applyAlignment="1">
      <alignment horizontal="center" vertical="center" wrapText="1"/>
    </xf>
    <xf numFmtId="0" fontId="150" fillId="24" borderId="0" xfId="18" applyFont="1" applyFill="1" applyBorder="1" applyAlignment="1">
      <alignment horizontal="center" vertical="center" wrapText="1"/>
    </xf>
  </cellXfs>
  <cellStyles count="19">
    <cellStyle name="Normal" xfId="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428625</xdr:colOff>
      <xdr:row>11</xdr:row>
      <xdr:rowOff>95250</xdr:rowOff>
    </xdr:from>
    <xdr:to>
      <xdr:col>9</xdr:col>
      <xdr:colOff>475422</xdr:colOff>
      <xdr:row>45</xdr:row>
      <xdr:rowOff>104046</xdr:rowOff>
    </xdr:to>
    <xdr:pic>
      <xdr:nvPicPr>
        <xdr:cNvPr id="2" name="图片 1">
          <a:extLst>
            <a:ext uri="{FF2B5EF4-FFF2-40B4-BE49-F238E27FC236}">
              <a16:creationId xmlns:a16="http://schemas.microsoft.com/office/drawing/2014/main" xmlns="" id="{00000000-0008-0000-2E00-000002000000}"/>
            </a:ext>
          </a:extLst>
        </xdr:cNvPr>
        <xdr:cNvPicPr>
          <a:picLocks noChangeAspect="1"/>
        </xdr:cNvPicPr>
      </xdr:nvPicPr>
      <xdr:blipFill>
        <a:blip xmlns:r="http://schemas.openxmlformats.org/officeDocument/2006/relationships" r:embed="rId1"/>
        <a:stretch>
          <a:fillRect/>
        </a:stretch>
      </xdr:blipFill>
      <xdr:spPr>
        <a:xfrm>
          <a:off x="428625" y="1981200"/>
          <a:ext cx="6628572" cy="58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房地产抵押价值预评估</v>
      </c>
    </row>
    <row r="3" spans="1:2" s="1337" customFormat="1">
      <c r="A3" s="1335" t="s">
        <v>1129</v>
      </c>
      <c r="B3" s="1336">
        <f>'预评函-封皮'!B40</f>
        <v>0</v>
      </c>
    </row>
    <row r="4" spans="1:2" s="1337" customFormat="1">
      <c r="A4" s="1335" t="s">
        <v>1130</v>
      </c>
      <c r="B4" s="1336" t="str">
        <f>'预评函-封皮'!B46</f>
        <v>（注册号：0)、（注册号：0)</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受贵公司委托，我公司对房地产抵押价值进行了预评估。</v>
      </c>
    </row>
    <row r="7" spans="1:2" s="1337" customFormat="1">
      <c r="A7" s="1335" t="s">
        <v>1172</v>
      </c>
      <c r="B7" s="1336" t="str">
        <f>'预评函-1'!A7</f>
        <v>估价对象为房地产，为所有。根据《国有土地使用证》[]，估价对象（分摊）出让国有建设用地使用权面积为20467.92平方米，建筑面积为69898.9平方米。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估价对象为房地产,属开发建设的，该项目尚在开发建设中。根据《国有土地使用证》[]，估价对象（分摊）出让国有建设用地使用权面积为20467.92平方米，规划建筑面积为69898.9平方米。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2021年12月13日</v>
      </c>
    </row>
    <row r="13" spans="1:2" s="1337" customFormat="1">
      <c r="A13" s="1335" t="s">
        <v>1135</v>
      </c>
      <c r="B13" s="1336" t="str">
        <f>'预评函-1'!A18</f>
        <v>本次估价的“房地产价值”是指在正常市场情况下，在价值时点2021年12月13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47074</v>
      </c>
    </row>
    <row r="21" spans="1:2" s="1337" customFormat="1">
      <c r="A21" s="1335" t="s">
        <v>1143</v>
      </c>
      <c r="B21" s="1336">
        <f ca="1">'预评函-2'!D7</f>
        <v>6735</v>
      </c>
    </row>
    <row r="22" spans="1:2" s="1337" customFormat="1">
      <c r="A22" s="1335" t="s">
        <v>1144</v>
      </c>
      <c r="B22" s="1336" t="str">
        <f ca="1">'预评函-2'!D6</f>
        <v>肆亿柒仟零柒拾肆万元整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47074</v>
      </c>
    </row>
    <row r="31" spans="1:2" s="1337" customFormat="1">
      <c r="A31" s="1335" t="s">
        <v>1182</v>
      </c>
      <c r="B31" s="1336">
        <f ca="1">'预评函-2'!D15</f>
        <v>6735</v>
      </c>
    </row>
    <row r="32" spans="1:2" s="1337" customFormat="1">
      <c r="A32" s="1335" t="s">
        <v>1149</v>
      </c>
      <c r="B32" s="1336" t="str">
        <f ca="1">'预评函-2'!D14</f>
        <v>肆亿柒仟零柒拾肆万元整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房地产</v>
      </c>
    </row>
    <row r="42" spans="1:2" s="1337" customFormat="1">
      <c r="A42" s="1335" t="s">
        <v>1196</v>
      </c>
      <c r="B42" s="1336" t="str">
        <f>'预评函-3'!B2</f>
        <v>建筑面积</v>
      </c>
    </row>
    <row r="43" spans="1:2" s="1337" customFormat="1">
      <c r="A43" s="1335" t="s">
        <v>1197</v>
      </c>
      <c r="B43" s="1336">
        <f>'预评函-3'!B4</f>
        <v>69898.900000000009</v>
      </c>
    </row>
    <row r="44" spans="1:2" s="1337" customFormat="1">
      <c r="A44" s="1335" t="s">
        <v>1181</v>
      </c>
      <c r="B44" s="1336" t="str">
        <f>'预评函-3'!C2</f>
        <v>(分摊)土地面积</v>
      </c>
    </row>
    <row r="45" spans="1:2" s="1337" customFormat="1">
      <c r="A45" s="1335" t="s">
        <v>1153</v>
      </c>
      <c r="B45" s="1336">
        <f>'预评函-3'!C4</f>
        <v>20467.919999999998</v>
      </c>
    </row>
    <row r="46" spans="1:2" s="1337" customFormat="1">
      <c r="A46" s="1335" t="s">
        <v>1179</v>
      </c>
      <c r="B46" s="1336" t="str">
        <f>'预评函-3'!D2</f>
        <v>出让国有建设用地使用权价值</v>
      </c>
    </row>
    <row r="47" spans="1:2" s="1337" customFormat="1">
      <c r="A47" s="1335" t="s">
        <v>1154</v>
      </c>
      <c r="B47" s="1336">
        <f ca="1">'预评函-3'!D4</f>
        <v>7626</v>
      </c>
    </row>
    <row r="48" spans="1:2" s="1337" customFormat="1">
      <c r="A48" s="1335" t="s">
        <v>1155</v>
      </c>
      <c r="B48" s="1336">
        <f ca="1">'预评函-3'!E4</f>
        <v>1091</v>
      </c>
    </row>
    <row r="49" spans="1:2" s="1337" customFormat="1">
      <c r="A49" s="1335" t="s">
        <v>1156</v>
      </c>
      <c r="B49" s="1336" t="str">
        <f ca="1">'预评函-3'!D5</f>
        <v>柒仟陆佰贰拾陆万元整</v>
      </c>
    </row>
    <row r="50" spans="1:2" s="1337" customFormat="1">
      <c r="A50" s="1335" t="s">
        <v>1180</v>
      </c>
      <c r="B50" s="1336" t="str">
        <f>'预评函-3'!F2</f>
        <v>在建建筑物价值</v>
      </c>
    </row>
    <row r="51" spans="1:2" s="1337" customFormat="1">
      <c r="A51" s="1335" t="s">
        <v>1157</v>
      </c>
      <c r="B51" s="1336">
        <f ca="1">'预评函-3'!F4</f>
        <v>39448</v>
      </c>
    </row>
    <row r="52" spans="1:2" s="1337" customFormat="1">
      <c r="A52" s="1335" t="s">
        <v>1158</v>
      </c>
      <c r="B52" s="1336">
        <f ca="1">'预评函-3'!G4</f>
        <v>5644</v>
      </c>
    </row>
    <row r="53" spans="1:2" s="1337" customFormat="1">
      <c r="A53" s="1335" t="s">
        <v>1186</v>
      </c>
      <c r="B53" s="1336" t="str">
        <f ca="1">'预评函-3'!F5</f>
        <v>叁亿玖仟肆佰肆拾捌万元整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f>'预评函-4'!A4</f>
        <v>0</v>
      </c>
    </row>
    <row r="71" spans="1:2">
      <c r="A71" s="1335" t="s">
        <v>1169</v>
      </c>
      <c r="B71" s="1336">
        <f>'预评函-4'!B4</f>
        <v>0</v>
      </c>
    </row>
    <row r="72" spans="1:2">
      <c r="A72" s="1335" t="s">
        <v>1170</v>
      </c>
      <c r="B72" s="1344">
        <f>'预评函-4'!A5</f>
        <v>0</v>
      </c>
    </row>
    <row r="73" spans="1:2" s="1331" customFormat="1" ht="15" thickBot="1">
      <c r="A73" s="1338" t="s">
        <v>1171</v>
      </c>
      <c r="B73" s="1339">
        <f>'预评函-4'!B5</f>
        <v>0</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7" sqref="H27"/>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2980</v>
      </c>
      <c r="C17" s="1702"/>
    </row>
    <row r="18" spans="1:3">
      <c r="A18" s="1701" t="s">
        <v>1672</v>
      </c>
      <c r="B18" s="1701" t="s">
        <v>3125</v>
      </c>
      <c r="C18" s="1702"/>
    </row>
    <row r="19" spans="1:3">
      <c r="A19" s="1701" t="s">
        <v>1673</v>
      </c>
      <c r="B19" s="1701" t="s">
        <v>3208</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392"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92"/>
      <c r="B54" s="1709" t="s">
        <v>832</v>
      </c>
      <c r="C54" s="1706" t="s">
        <v>1189</v>
      </c>
    </row>
    <row r="55" spans="1:4">
      <c r="A55" s="3392"/>
      <c r="B55" s="1709" t="s">
        <v>833</v>
      </c>
      <c r="C55" s="1706" t="s">
        <v>1190</v>
      </c>
    </row>
    <row r="56" spans="1:4">
      <c r="A56" s="3392"/>
      <c r="B56" s="1709" t="s">
        <v>834</v>
      </c>
      <c r="C56" s="1706" t="s">
        <v>1194</v>
      </c>
    </row>
    <row r="57" spans="1:4">
      <c r="A57" s="3392"/>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K26" sqref="K26"/>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5" customWidth="1"/>
    <col min="12" max="13" width="10" style="2826"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2855</v>
      </c>
      <c r="B1" s="3393" t="str">
        <f>IF(B10="北京市","北京市",C10)&amp;F10&amp;IF(结果表!G1="在建","出让国有建设用地使用权及在建建筑物",IF(结果表!G1="土地","出让国有建设用地使用权",))&amp;B9&amp;"预评估"</f>
        <v>房地产抵押价值预评估</v>
      </c>
      <c r="C1" s="3394"/>
      <c r="D1" s="3394"/>
      <c r="E1" s="3394"/>
      <c r="F1" s="3394"/>
      <c r="G1" s="3394"/>
      <c r="H1" s="3394"/>
      <c r="I1" s="3395"/>
      <c r="J1" s="2667"/>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房地产抵押价值</v>
      </c>
      <c r="T1" s="1901"/>
      <c r="U1" s="1901"/>
      <c r="V1" s="1901"/>
      <c r="W1" s="1901"/>
      <c r="X1" s="1901"/>
      <c r="Y1" s="1901"/>
      <c r="Z1" s="1901"/>
      <c r="AA1" s="1901"/>
      <c r="AB1" s="1901"/>
    </row>
    <row r="2" spans="1:28">
      <c r="A2" s="2561" t="s">
        <v>2856</v>
      </c>
      <c r="B2" s="2565"/>
      <c r="C2" s="2566"/>
      <c r="D2" s="2869"/>
      <c r="E2" s="2859"/>
      <c r="F2" s="2859"/>
      <c r="G2" s="2860"/>
      <c r="H2" s="2860"/>
      <c r="I2" s="2860"/>
      <c r="J2" s="2667"/>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房地产</v>
      </c>
      <c r="T2" s="1901"/>
      <c r="U2" s="1901"/>
      <c r="V2" s="1901"/>
      <c r="W2" s="1901"/>
      <c r="X2" s="1901"/>
      <c r="Y2" s="1901"/>
      <c r="Z2" s="1901"/>
      <c r="AA2" s="1901"/>
      <c r="AB2" s="1901"/>
    </row>
    <row r="3" spans="1:28">
      <c r="A3" s="308" t="s">
        <v>2857</v>
      </c>
      <c r="B3" s="2567"/>
      <c r="C3" s="2568" t="s">
        <v>2858</v>
      </c>
      <c r="D3" s="2567">
        <v>44543</v>
      </c>
      <c r="E3" s="2860"/>
      <c r="F3" s="2860"/>
      <c r="G3" s="2860"/>
      <c r="H3" s="2860"/>
      <c r="I3" s="2860"/>
      <c r="J3" s="2667"/>
      <c r="K3" s="2562"/>
      <c r="L3" s="2563"/>
      <c r="M3" s="2563"/>
      <c r="N3" s="2564"/>
      <c r="O3" s="1731"/>
      <c r="P3" s="2564"/>
      <c r="Q3" s="2564"/>
      <c r="R3" s="2564"/>
      <c r="S3" s="1838"/>
      <c r="T3" s="1901"/>
      <c r="U3" s="1901"/>
      <c r="V3" s="1901"/>
      <c r="W3" s="1901"/>
      <c r="X3" s="1901"/>
      <c r="Y3" s="1901"/>
      <c r="Z3" s="1901"/>
      <c r="AA3" s="1901"/>
      <c r="AB3" s="1901"/>
    </row>
    <row r="4" spans="1:28" ht="13.5" thickBot="1">
      <c r="A4" s="1222" t="s">
        <v>2859</v>
      </c>
      <c r="B4" s="2569"/>
      <c r="C4" s="2570">
        <f>SUMIF(注册房地产估价师,B4,估价师及机构信息!B3:B24)</f>
        <v>0</v>
      </c>
      <c r="D4" s="2569"/>
      <c r="E4" s="2571">
        <f>SUMIF(注册房地产估价师,D4,估价师及机构信息!B3:B24)</f>
        <v>0</v>
      </c>
      <c r="F4" s="2569"/>
      <c r="G4" s="2571">
        <f>SUMIF(注册房地产估价师,F4,估价师及机构信息!B3:B24)</f>
        <v>0</v>
      </c>
      <c r="H4" s="2569"/>
      <c r="I4" s="2571">
        <f>SUMIF(注册房地产估价师,H4,估价师及机构信息!B3:B24)</f>
        <v>0</v>
      </c>
      <c r="J4" s="2635"/>
      <c r="K4" s="2572" t="str">
        <f>CONCATENATE(B4,"（注册号：",C4,")、",D4,"（注册号：",E4,")")</f>
        <v>（注册号：0)、（注册号：0)</v>
      </c>
      <c r="L4" s="2563"/>
      <c r="M4" s="2563"/>
      <c r="N4" s="2564"/>
      <c r="O4" s="1731"/>
      <c r="P4" s="2564"/>
      <c r="Q4" s="2564"/>
      <c r="R4" s="2564"/>
      <c r="S4" s="1838"/>
      <c r="T4" s="1901"/>
      <c r="U4" s="1901"/>
      <c r="V4" s="1901"/>
      <c r="W4" s="1901"/>
      <c r="X4" s="1901"/>
      <c r="Y4" s="1901"/>
      <c r="Z4" s="1901"/>
      <c r="AA4" s="1901"/>
      <c r="AB4" s="1901"/>
    </row>
    <row r="5" spans="1:28" ht="13.5" thickTop="1">
      <c r="A5" s="2573" t="s">
        <v>2860</v>
      </c>
      <c r="B5" s="2574"/>
      <c r="C5" s="2575"/>
      <c r="D5" s="2576"/>
      <c r="E5" s="2861"/>
      <c r="F5" s="2861"/>
      <c r="G5" s="2861"/>
      <c r="H5" s="2861"/>
      <c r="I5" s="2861"/>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2861</v>
      </c>
      <c r="B6" s="2578"/>
      <c r="C6" s="2579"/>
      <c r="D6" s="2580"/>
      <c r="E6" s="2859"/>
      <c r="F6" s="2861"/>
      <c r="G6" s="2861"/>
      <c r="H6" s="2861"/>
      <c r="I6" s="2861"/>
      <c r="J6" s="2635"/>
      <c r="K6" s="2811" t="str">
        <f>IF(COUNTIF(B6,"*上海银行*"),"上海银行","")</f>
        <v/>
      </c>
      <c r="L6" s="2809"/>
      <c r="M6" s="2809"/>
      <c r="N6" s="2635"/>
      <c r="O6" s="2646"/>
      <c r="P6" s="2635"/>
      <c r="Q6" s="2635"/>
      <c r="R6" s="2635"/>
    </row>
    <row r="7" spans="1:28">
      <c r="A7" s="2577" t="s">
        <v>2862</v>
      </c>
      <c r="B7" s="2581"/>
      <c r="C7" s="2579"/>
      <c r="D7" s="2580"/>
      <c r="E7" s="2859"/>
      <c r="F7" s="2861"/>
      <c r="G7" s="2861"/>
      <c r="H7" s="2861"/>
      <c r="I7" s="2861"/>
      <c r="J7" s="2635"/>
      <c r="K7" s="2812"/>
      <c r="L7" s="2809"/>
      <c r="M7" s="2809"/>
      <c r="N7" s="2635"/>
      <c r="O7" s="2646"/>
      <c r="P7" s="2635"/>
      <c r="Q7" s="2635"/>
      <c r="R7" s="2635"/>
    </row>
    <row r="8" spans="1:28">
      <c r="A8" s="2582" t="s">
        <v>2863</v>
      </c>
      <c r="B8" s="2583" t="s">
        <v>3191</v>
      </c>
      <c r="C8" s="2584"/>
      <c r="D8" s="3396" t="s">
        <v>2864</v>
      </c>
      <c r="E8" s="2585" t="s">
        <v>3192</v>
      </c>
      <c r="F8" s="2586"/>
      <c r="G8" s="2860"/>
      <c r="H8" s="2860"/>
      <c r="I8" s="2860"/>
      <c r="J8" s="2635"/>
      <c r="K8" s="2810"/>
      <c r="L8" s="2809"/>
      <c r="M8" s="2809"/>
      <c r="N8" s="2635"/>
      <c r="O8" s="2646"/>
      <c r="P8" s="2635"/>
      <c r="Q8" s="2635"/>
      <c r="R8" s="2635"/>
    </row>
    <row r="9" spans="1:28" ht="13.5" thickBot="1">
      <c r="A9" s="2587" t="s">
        <v>2865</v>
      </c>
      <c r="B9" s="2588" t="s">
        <v>3192</v>
      </c>
      <c r="C9" s="2589"/>
      <c r="D9" s="3397"/>
      <c r="E9" s="2588"/>
      <c r="F9" s="2590"/>
      <c r="G9" s="2862"/>
      <c r="H9" s="2862"/>
      <c r="I9" s="2862"/>
      <c r="J9" s="2635"/>
      <c r="K9" s="2812"/>
      <c r="L9" s="2809"/>
      <c r="M9" s="2809"/>
      <c r="N9" s="2635"/>
      <c r="O9" s="2646"/>
      <c r="P9" s="2635"/>
      <c r="Q9" s="2635"/>
      <c r="R9" s="2635"/>
    </row>
    <row r="10" spans="1:28" ht="13.5" thickTop="1">
      <c r="A10" s="2591" t="s">
        <v>2866</v>
      </c>
      <c r="B10" s="2592" t="s">
        <v>3193</v>
      </c>
      <c r="C10" s="2593"/>
      <c r="D10" s="2576"/>
      <c r="E10" s="2594" t="s">
        <v>2867</v>
      </c>
      <c r="F10" s="2863"/>
      <c r="G10" s="2864"/>
      <c r="H10" s="2865"/>
      <c r="I10" s="2866"/>
      <c r="J10" s="2635"/>
      <c r="K10" s="2812"/>
      <c r="L10" s="2809"/>
      <c r="M10" s="2809"/>
      <c r="N10" s="2635"/>
      <c r="O10" s="2646"/>
      <c r="P10" s="2635"/>
      <c r="Q10" s="2635"/>
      <c r="R10" s="2635"/>
    </row>
    <row r="11" spans="1:28">
      <c r="A11" s="2595" t="s">
        <v>2868</v>
      </c>
      <c r="B11" s="2596" t="s">
        <v>3194</v>
      </c>
      <c r="C11" s="2597"/>
      <c r="D11" s="2598"/>
      <c r="E11" s="2564"/>
      <c r="F11" s="2564"/>
      <c r="G11" s="2564"/>
      <c r="H11" s="2564"/>
      <c r="I11" s="2564"/>
      <c r="J11" s="2635"/>
      <c r="K11" s="2812"/>
      <c r="L11" s="2809"/>
      <c r="M11" s="2809"/>
      <c r="N11" s="2635"/>
      <c r="O11" s="2646"/>
      <c r="P11" s="2635"/>
      <c r="Q11" s="2635"/>
      <c r="R11" s="2635"/>
    </row>
    <row r="12" spans="1:28">
      <c r="A12" s="2599" t="s">
        <v>2869</v>
      </c>
      <c r="B12" s="2596" t="s">
        <v>3195</v>
      </c>
      <c r="C12" s="329" t="s">
        <v>2870</v>
      </c>
      <c r="D12" s="2600" t="s">
        <v>2871</v>
      </c>
      <c r="E12" s="2600" t="s">
        <v>2872</v>
      </c>
      <c r="F12" s="2600" t="s">
        <v>2873</v>
      </c>
      <c r="G12" s="2600" t="s">
        <v>2874</v>
      </c>
      <c r="H12" s="2600" t="s">
        <v>2875</v>
      </c>
      <c r="I12" s="2600" t="s">
        <v>2876</v>
      </c>
      <c r="J12" s="2635"/>
      <c r="K12" s="2812"/>
      <c r="L12" s="2809"/>
      <c r="M12" s="2809"/>
      <c r="N12" s="2635"/>
      <c r="O12" s="2646"/>
      <c r="P12" s="2635"/>
      <c r="Q12" s="2635"/>
      <c r="R12" s="2635"/>
    </row>
    <row r="13" spans="1:28">
      <c r="A13" s="1213"/>
      <c r="B13" s="2601"/>
      <c r="C13" s="2602" t="s">
        <v>2877</v>
      </c>
      <c r="D13" s="965"/>
      <c r="E13" s="965">
        <v>55509</v>
      </c>
      <c r="F13" s="965">
        <v>55509</v>
      </c>
      <c r="G13" s="965">
        <v>55509</v>
      </c>
      <c r="H13" s="965"/>
      <c r="I13" s="965"/>
      <c r="J13" s="2635"/>
      <c r="K13" s="2812"/>
      <c r="L13" s="2809"/>
      <c r="M13" s="2809"/>
      <c r="N13" s="2635"/>
      <c r="O13" s="2646"/>
      <c r="P13" s="2635"/>
      <c r="Q13" s="2635"/>
      <c r="R13" s="2635"/>
    </row>
    <row r="14" spans="1:28">
      <c r="A14" s="1213"/>
      <c r="B14" s="2601"/>
      <c r="C14" s="2602" t="s">
        <v>2878</v>
      </c>
      <c r="D14" s="2603"/>
      <c r="E14" s="2603">
        <v>40</v>
      </c>
      <c r="F14" s="2603">
        <v>40</v>
      </c>
      <c r="G14" s="2603">
        <v>40</v>
      </c>
      <c r="H14" s="2603"/>
      <c r="I14" s="2603"/>
      <c r="J14" s="2635"/>
      <c r="K14" s="2813"/>
      <c r="L14" s="2809"/>
      <c r="M14" s="2809"/>
      <c r="N14" s="2635"/>
      <c r="O14" s="2646"/>
      <c r="P14" s="2635"/>
      <c r="Q14" s="2635"/>
      <c r="R14" s="2635"/>
    </row>
    <row r="15" spans="1:28">
      <c r="A15" s="326"/>
      <c r="B15" s="2604"/>
      <c r="C15" s="2605" t="s">
        <v>2879</v>
      </c>
      <c r="D15" s="2606" t="str">
        <f>IF(B12="出让",IF(D13="","",ROUNDDOWN(MIN((D13-$D$3)/365,D14),2)),D14)</f>
        <v/>
      </c>
      <c r="E15" s="2606">
        <f>IF(B12="出让",IF(E13="","",ROUNDDOWN(MIN((E13-$D$3)/365,E14),2)),E14)</f>
        <v>30.04</v>
      </c>
      <c r="F15" s="2606">
        <f>IF(B12="出让",IF(F13="","",ROUNDDOWN(MIN((F13-$D$3)/365,F14),2)),F14)</f>
        <v>30.04</v>
      </c>
      <c r="G15" s="2606">
        <f>IF(B12="出让",IF(G13="","",ROUNDDOWN(MIN((G13-$D$3)/365,G14),2)),G14)</f>
        <v>30.04</v>
      </c>
      <c r="H15" s="2606" t="str">
        <f>IF(B12="出让",IF(H13="","",ROUNDDOWN(MIN((H13-$D$3)/365,H14),2)),H14)</f>
        <v/>
      </c>
      <c r="I15" s="2606" t="str">
        <f>IF(B12="出让",IF(I13="","",ROUNDDOWN(MIN((I13-$D$3)/365,I14),2)),I14)</f>
        <v/>
      </c>
      <c r="J15" s="2635"/>
      <c r="K15" s="2814"/>
      <c r="L15" s="2647"/>
      <c r="M15" s="2647"/>
      <c r="N15" s="2705"/>
      <c r="O15" s="2647"/>
      <c r="P15" s="2705"/>
      <c r="Q15" s="2635"/>
      <c r="R15" s="2635"/>
    </row>
    <row r="16" spans="1:28">
      <c r="A16" s="2594" t="s">
        <v>2880</v>
      </c>
      <c r="B16" s="3403"/>
      <c r="C16" s="3404"/>
      <c r="D16" s="3405"/>
      <c r="E16" s="2609" t="s">
        <v>2881</v>
      </c>
      <c r="F16" s="3406"/>
      <c r="G16" s="3407"/>
      <c r="H16" s="3407"/>
      <c r="I16" s="3408"/>
      <c r="J16" s="2635"/>
      <c r="K16" s="2814"/>
      <c r="L16" s="2647"/>
      <c r="M16" s="2647"/>
      <c r="N16" s="2705"/>
      <c r="O16" s="2647"/>
      <c r="P16" s="2705"/>
      <c r="Q16" s="2635"/>
      <c r="R16" s="2635"/>
    </row>
    <row r="17" spans="1:28">
      <c r="A17" s="319" t="s">
        <v>2882</v>
      </c>
      <c r="B17" s="308" t="s">
        <v>2883</v>
      </c>
      <c r="C17" s="11">
        <f>'数据-汇总表'!E3</f>
        <v>69898.900000000009</v>
      </c>
      <c r="D17" s="2515" t="s">
        <v>2884</v>
      </c>
      <c r="E17" s="3409" t="s">
        <v>2885</v>
      </c>
      <c r="F17" s="3410"/>
      <c r="G17" s="3410"/>
      <c r="H17" s="3410"/>
      <c r="I17" s="3411"/>
      <c r="J17" s="2635"/>
      <c r="K17" s="2815"/>
      <c r="L17" s="2647"/>
      <c r="M17" s="2647"/>
      <c r="N17" s="2705"/>
      <c r="O17" s="2647"/>
      <c r="P17" s="2705"/>
      <c r="Q17" s="2635"/>
      <c r="R17" s="2635"/>
      <c r="S17" s="2635"/>
      <c r="T17" s="2635"/>
      <c r="U17" s="2635"/>
      <c r="V17" s="2635"/>
    </row>
    <row r="18" spans="1:28" ht="24.75" thickBot="1">
      <c r="A18" s="2610" t="s">
        <v>2886</v>
      </c>
      <c r="B18" s="1222" t="s">
        <v>2887</v>
      </c>
      <c r="C18" s="2611">
        <f>'数据-汇总表'!D3</f>
        <v>20467.919999999998</v>
      </c>
      <c r="D18" s="1224" t="s">
        <v>2888</v>
      </c>
      <c r="E18" s="3412" t="s">
        <v>2889</v>
      </c>
      <c r="F18" s="3413"/>
      <c r="G18" s="3413"/>
      <c r="H18" s="3413"/>
      <c r="I18" s="3414"/>
      <c r="J18" s="2635"/>
      <c r="K18" s="2815"/>
      <c r="L18" s="2647"/>
      <c r="M18" s="2647"/>
      <c r="N18" s="2705"/>
      <c r="O18" s="2647"/>
      <c r="P18" s="2705"/>
      <c r="Q18" s="2635"/>
      <c r="R18" s="2635"/>
      <c r="S18" s="2635"/>
      <c r="T18" s="2635"/>
      <c r="U18" s="2635"/>
      <c r="V18" s="2635"/>
    </row>
    <row r="19" spans="1:28" ht="37.5" thickTop="1" thickBot="1">
      <c r="A19" s="333" t="s">
        <v>1681</v>
      </c>
      <c r="B19" s="313" t="s">
        <v>2890</v>
      </c>
      <c r="C19" s="1718"/>
      <c r="D19" s="1719" t="s">
        <v>2891</v>
      </c>
      <c r="E19" s="1720"/>
      <c r="F19" s="1721" t="str">
        <f>IF(AND(C19="是",E19="否"),"是否提供他项权证或相关说明","")</f>
        <v/>
      </c>
      <c r="G19" s="1722"/>
      <c r="H19" s="2861"/>
      <c r="I19" s="2861"/>
      <c r="J19" s="2635"/>
      <c r="K19" s="2812"/>
      <c r="L19" s="2809"/>
      <c r="M19" s="2809"/>
      <c r="N19" s="2705"/>
      <c r="O19" s="2647"/>
      <c r="P19" s="2705"/>
      <c r="Q19" s="2635"/>
      <c r="R19" s="2635"/>
      <c r="S19" s="2635"/>
      <c r="T19" s="2635"/>
      <c r="U19" s="2635"/>
      <c r="V19" s="2635"/>
    </row>
    <row r="20" spans="1:28">
      <c r="A20" s="2829" t="s">
        <v>2892</v>
      </c>
      <c r="B20" s="3399" t="s">
        <v>2893</v>
      </c>
      <c r="C20" s="3400"/>
      <c r="D20" s="3401" t="s">
        <v>2894</v>
      </c>
      <c r="E20" s="3402"/>
      <c r="F20" s="2844" t="s">
        <v>1682</v>
      </c>
      <c r="G20" s="2861"/>
      <c r="H20" s="2861"/>
      <c r="I20" s="2861"/>
      <c r="J20" s="2635"/>
      <c r="K20" s="3398" t="s">
        <v>2895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8"/>
      <c r="O20" s="2607"/>
      <c r="P20" s="2608"/>
      <c r="Q20" s="2564"/>
      <c r="R20" s="2564"/>
      <c r="S20" s="2564"/>
      <c r="T20" s="2564"/>
      <c r="U20" s="2564"/>
      <c r="V20" s="2564"/>
      <c r="W20" s="1901"/>
      <c r="X20" s="1901"/>
      <c r="Y20" s="1901"/>
      <c r="Z20" s="1901"/>
      <c r="AA20" s="1901"/>
      <c r="AB20" s="1901"/>
    </row>
    <row r="21" spans="1:28" ht="24.75" thickBot="1">
      <c r="A21" s="2829"/>
      <c r="B21" s="2830" t="s">
        <v>2896</v>
      </c>
      <c r="C21" s="2831" t="s">
        <v>1683</v>
      </c>
      <c r="D21" s="1723" t="s">
        <v>2897</v>
      </c>
      <c r="E21" s="2832" t="s">
        <v>1683</v>
      </c>
      <c r="F21" s="2845"/>
      <c r="G21" s="2861"/>
      <c r="H21" s="2861"/>
      <c r="I21" s="2861"/>
      <c r="J21" s="2635"/>
      <c r="K21" s="339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24.75" thickBot="1">
      <c r="A22" s="2829"/>
      <c r="B22" s="2833" t="s">
        <v>2898</v>
      </c>
      <c r="C22" s="2831" t="s">
        <v>1684</v>
      </c>
      <c r="D22" s="2860"/>
      <c r="E22" s="2860"/>
      <c r="F22" s="2860"/>
      <c r="G22" s="2861"/>
      <c r="H22" s="2861"/>
      <c r="I22" s="2861"/>
      <c r="J22" s="2635"/>
      <c r="K22" s="339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4" t="s">
        <v>2899</v>
      </c>
      <c r="B23" s="2698" t="s">
        <v>2900</v>
      </c>
      <c r="C23" s="2835"/>
      <c r="D23" s="2836" t="s">
        <v>2900</v>
      </c>
      <c r="E23" s="2837"/>
      <c r="F23" s="2860"/>
      <c r="G23" s="2861"/>
      <c r="H23" s="2861"/>
      <c r="I23" s="2861"/>
      <c r="J23" s="2635"/>
      <c r="K23" s="2816"/>
      <c r="L23" s="2671"/>
      <c r="M23" s="2809"/>
      <c r="N23" s="2705"/>
      <c r="O23" s="2647"/>
      <c r="P23" s="2705"/>
      <c r="Q23" s="2635"/>
      <c r="R23" s="2635"/>
      <c r="S23" s="2635"/>
      <c r="T23" s="2635"/>
      <c r="U23" s="2635"/>
      <c r="V23" s="2635"/>
    </row>
    <row r="24" spans="1:28">
      <c r="A24" s="2834"/>
      <c r="B24" s="2698" t="s">
        <v>1685</v>
      </c>
      <c r="C24" s="2838"/>
      <c r="D24" s="2834" t="s">
        <v>1685</v>
      </c>
      <c r="E24" s="2839"/>
      <c r="F24" s="2860"/>
      <c r="G24" s="2861"/>
      <c r="H24" s="2861"/>
      <c r="I24" s="2861"/>
      <c r="J24" s="2635"/>
      <c r="K24" s="2816"/>
      <c r="L24" s="2671"/>
      <c r="M24" s="2809"/>
      <c r="N24" s="2705"/>
      <c r="O24" s="2647"/>
      <c r="P24" s="2705"/>
      <c r="Q24" s="2635"/>
      <c r="R24" s="2635"/>
      <c r="S24" s="2635"/>
      <c r="T24" s="2635"/>
      <c r="U24" s="2635"/>
      <c r="V24" s="2635"/>
    </row>
    <row r="25" spans="1:28">
      <c r="A25" s="2834"/>
      <c r="B25" s="2698" t="s">
        <v>1686</v>
      </c>
      <c r="C25" s="2838"/>
      <c r="D25" s="2834" t="s">
        <v>1686</v>
      </c>
      <c r="E25" s="2839"/>
      <c r="F25" s="2860"/>
      <c r="G25" s="2861"/>
      <c r="H25" s="2861"/>
      <c r="I25" s="2861"/>
      <c r="J25" s="2635"/>
      <c r="K25" s="2812"/>
      <c r="L25" s="2809"/>
      <c r="M25" s="2809"/>
      <c r="N25" s="2705"/>
      <c r="O25" s="2647"/>
      <c r="P25" s="2705"/>
      <c r="Q25" s="2635"/>
      <c r="R25" s="2635"/>
      <c r="S25" s="2635"/>
      <c r="T25" s="2635"/>
      <c r="U25" s="2635"/>
      <c r="V25" s="2635"/>
    </row>
    <row r="26" spans="1:28" ht="13.5" thickBot="1">
      <c r="A26" s="2840"/>
      <c r="B26" s="2841" t="s">
        <v>1687</v>
      </c>
      <c r="C26" s="2842"/>
      <c r="D26" s="2840" t="s">
        <v>1687</v>
      </c>
      <c r="E26" s="2843"/>
      <c r="F26" s="2862"/>
      <c r="G26" s="2862"/>
      <c r="H26" s="2862"/>
      <c r="I26" s="2862"/>
      <c r="J26" s="2635"/>
      <c r="K26" s="2812"/>
      <c r="L26" s="2809"/>
      <c r="M26" s="2809"/>
      <c r="N26" s="2705"/>
      <c r="O26" s="2647"/>
      <c r="P26" s="2705"/>
      <c r="Q26" s="2635"/>
      <c r="R26" s="2635"/>
      <c r="S26" s="2635"/>
      <c r="T26" s="2635"/>
      <c r="U26" s="2635"/>
      <c r="V26" s="2635"/>
    </row>
    <row r="27" spans="1:28" ht="13.5" thickTop="1">
      <c r="A27" s="3416" t="s">
        <v>2901</v>
      </c>
      <c r="B27" s="326" t="s">
        <v>2902</v>
      </c>
      <c r="C27" s="2612"/>
      <c r="D27" s="2613"/>
      <c r="E27" s="2861"/>
      <c r="F27" s="2861"/>
      <c r="G27" s="2861"/>
      <c r="H27" s="2861"/>
      <c r="I27" s="2861"/>
      <c r="J27" s="2635"/>
      <c r="K27" s="2814"/>
      <c r="L27" s="2647"/>
      <c r="M27" s="2647"/>
      <c r="N27" s="2705"/>
      <c r="O27" s="2647"/>
      <c r="P27" s="2705"/>
      <c r="Q27" s="2635"/>
      <c r="R27" s="2635"/>
      <c r="S27" s="2635"/>
      <c r="T27" s="2635"/>
      <c r="U27" s="2635"/>
      <c r="V27" s="2635"/>
    </row>
    <row r="28" spans="1:28">
      <c r="A28" s="3416"/>
      <c r="B28" s="308" t="s">
        <v>2903</v>
      </c>
      <c r="C28" s="2614"/>
      <c r="D28" s="2615"/>
      <c r="E28" s="2861"/>
      <c r="F28" s="2861"/>
      <c r="G28" s="2861"/>
      <c r="H28" s="2861"/>
      <c r="I28" s="2861"/>
      <c r="J28" s="2635"/>
      <c r="K28" s="2812"/>
      <c r="L28" s="2809"/>
      <c r="M28" s="2809"/>
      <c r="N28" s="2635"/>
      <c r="O28" s="2646"/>
      <c r="P28" s="2635"/>
      <c r="Q28" s="2635"/>
      <c r="R28" s="2635"/>
      <c r="S28" s="2635"/>
      <c r="T28" s="2635"/>
      <c r="U28" s="2635"/>
      <c r="V28" s="2635"/>
    </row>
    <row r="29" spans="1:28">
      <c r="A29" s="3416"/>
      <c r="B29" s="308" t="s">
        <v>2904</v>
      </c>
      <c r="C29" s="2616"/>
      <c r="D29" s="2617"/>
      <c r="E29" s="2861"/>
      <c r="F29" s="2861"/>
      <c r="G29" s="2861"/>
      <c r="H29" s="2861"/>
      <c r="I29" s="2861"/>
      <c r="J29" s="2635"/>
      <c r="K29" s="2812"/>
      <c r="L29" s="2809"/>
      <c r="M29" s="2809"/>
      <c r="N29" s="2635"/>
      <c r="O29" s="2646"/>
      <c r="P29" s="2635"/>
      <c r="Q29" s="2635"/>
      <c r="R29" s="2635"/>
      <c r="S29" s="2635"/>
      <c r="T29" s="2635"/>
      <c r="U29" s="2635"/>
      <c r="V29" s="2635"/>
    </row>
    <row r="30" spans="1:28">
      <c r="A30" s="3417"/>
      <c r="B30" s="308" t="s">
        <v>2905</v>
      </c>
      <c r="C30" s="3418"/>
      <c r="D30" s="3419"/>
      <c r="E30" s="2861"/>
      <c r="F30" s="2861"/>
      <c r="G30" s="2861"/>
      <c r="H30" s="2861"/>
      <c r="I30" s="2861"/>
      <c r="J30" s="2635"/>
      <c r="K30" s="2812"/>
      <c r="L30" s="2809"/>
      <c r="M30" s="2809"/>
      <c r="N30" s="2635"/>
      <c r="O30" s="2646"/>
      <c r="P30" s="2635"/>
      <c r="Q30" s="2635"/>
      <c r="R30" s="2635"/>
      <c r="S30" s="2635"/>
      <c r="T30" s="2635"/>
      <c r="U30" s="2635"/>
      <c r="V30" s="2635"/>
    </row>
    <row r="31" spans="1:28">
      <c r="A31" s="3420" t="s">
        <v>2906</v>
      </c>
      <c r="B31" s="2618"/>
      <c r="C31" s="2516" t="str">
        <f>IF(B31="现房","成新及维护状况正常否",IF(B31="在建","工程状态是否正常",IF(B31="土地","是否闲置","-")))</f>
        <v>-</v>
      </c>
      <c r="D31" s="1527"/>
      <c r="E31" s="2619"/>
      <c r="F31" s="2861"/>
      <c r="G31" s="2861"/>
      <c r="H31" s="2861"/>
      <c r="I31" s="2861"/>
      <c r="J31" s="2635"/>
      <c r="K31" s="2811"/>
      <c r="L31" s="2809"/>
      <c r="M31" s="2809"/>
      <c r="N31" s="2635"/>
      <c r="O31" s="2646"/>
      <c r="P31" s="2635"/>
      <c r="Q31" s="2635"/>
      <c r="R31" s="2635"/>
      <c r="S31" s="2635"/>
      <c r="T31" s="2635"/>
      <c r="U31" s="2635"/>
      <c r="V31" s="2635"/>
    </row>
    <row r="32" spans="1:28">
      <c r="A32" s="3421"/>
      <c r="B32" s="2618"/>
      <c r="C32" s="2516" t="str">
        <f>IF(B32="现房","成新及维护状况是否正常",IF(B32="在建","工程状态是否正常",IF(B32="土地","是否闲置","-")))</f>
        <v>-</v>
      </c>
      <c r="D32" s="1527"/>
      <c r="E32" s="2619"/>
      <c r="F32" s="2861"/>
      <c r="G32" s="2861"/>
      <c r="H32" s="2861"/>
      <c r="I32" s="2861"/>
      <c r="J32" s="2635"/>
      <c r="K32" s="2812"/>
      <c r="L32" s="2809"/>
      <c r="M32" s="2809"/>
      <c r="N32" s="2635"/>
      <c r="O32" s="2646"/>
      <c r="P32" s="2635"/>
      <c r="Q32" s="2635"/>
      <c r="R32" s="2635"/>
      <c r="S32" s="2635"/>
      <c r="T32" s="2635"/>
      <c r="U32" s="2635"/>
      <c r="V32" s="2635"/>
    </row>
    <row r="33" spans="1:30">
      <c r="A33" s="3421"/>
      <c r="B33" s="2621"/>
      <c r="C33" s="1745" t="str">
        <f>IF(B33="现房","成新及维护状况是否正常",IF(B33="在建","工程状态是否正常",IF(B33="土地","是否闲置","-")))</f>
        <v>-</v>
      </c>
      <c r="D33" s="1519"/>
      <c r="E33" s="2622"/>
      <c r="F33" s="2861"/>
      <c r="G33" s="2861"/>
      <c r="H33" s="2861"/>
      <c r="I33" s="2861"/>
      <c r="J33" s="2635"/>
      <c r="K33" s="2812"/>
      <c r="L33" s="2809"/>
      <c r="M33" s="2809"/>
      <c r="N33" s="2635"/>
      <c r="O33" s="2646"/>
      <c r="P33" s="2635"/>
      <c r="Q33" s="2635"/>
      <c r="R33" s="2635"/>
      <c r="S33" s="2635"/>
      <c r="T33" s="2635"/>
      <c r="U33" s="2635"/>
      <c r="V33" s="2635"/>
    </row>
    <row r="34" spans="1:30">
      <c r="A34" s="308" t="s">
        <v>2907</v>
      </c>
      <c r="B34" s="2184"/>
      <c r="C34" s="2184"/>
      <c r="D34" s="2184"/>
      <c r="E34" s="2184"/>
      <c r="F34" s="2184"/>
      <c r="G34" s="2184"/>
      <c r="H34" s="2184"/>
      <c r="I34" s="2861"/>
      <c r="J34" s="2635"/>
      <c r="K34" s="2623">
        <f>COUNTIF(B34:H34,"——")</f>
        <v>0</v>
      </c>
      <c r="L34" s="329" t="s">
        <v>2908</v>
      </c>
      <c r="M34" s="329" t="s">
        <v>2909</v>
      </c>
      <c r="N34" s="329" t="s">
        <v>2910</v>
      </c>
      <c r="O34" s="329" t="s">
        <v>2911</v>
      </c>
      <c r="P34" s="329" t="s">
        <v>2912</v>
      </c>
      <c r="Q34" s="329" t="s">
        <v>2913</v>
      </c>
      <c r="R34" s="329" t="s">
        <v>2914</v>
      </c>
      <c r="S34" s="3415" t="s">
        <v>2915</v>
      </c>
      <c r="T34" s="2624" t="str">
        <f>NUMBERSTRING(7-K34,1)&amp;"通"</f>
        <v>七通</v>
      </c>
      <c r="U34" s="2635"/>
      <c r="V34" s="2635"/>
    </row>
    <row r="35" spans="1:30">
      <c r="A35" s="2625"/>
      <c r="B35" s="3422" t="s">
        <v>2916</v>
      </c>
      <c r="C35" s="3422"/>
      <c r="D35" s="3422"/>
      <c r="E35" s="3422"/>
      <c r="F35" s="673">
        <f>C10</f>
        <v>0</v>
      </c>
      <c r="G35" s="2861"/>
      <c r="H35" s="2861"/>
      <c r="I35" s="2861"/>
      <c r="J35" s="263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415"/>
      <c r="T35" s="335" t="str">
        <f>IF(T34="一通",L35,IF(T34="二通",M35,IF(T34="三通",N35,IF(T34="四通",O35,IF(T34="五通",P35,IF(T34="六通",Q35,R35))))))</f>
        <v>、、、、、、</v>
      </c>
      <c r="U35" s="2635"/>
      <c r="V35" s="2635"/>
    </row>
    <row r="36" spans="1:30">
      <c r="A36" s="2626"/>
      <c r="B36" s="673" t="s">
        <v>2872</v>
      </c>
      <c r="C36" s="673" t="s">
        <v>2873</v>
      </c>
      <c r="D36" s="673" t="s">
        <v>2871</v>
      </c>
      <c r="E36" s="673" t="s">
        <v>2876</v>
      </c>
      <c r="F36" s="2867"/>
      <c r="G36" s="2861"/>
      <c r="H36" s="2861"/>
      <c r="I36" s="2861"/>
      <c r="J36" s="2635"/>
      <c r="K36" s="2812"/>
      <c r="L36" s="2809"/>
      <c r="M36" s="2809"/>
      <c r="N36" s="2635"/>
      <c r="O36" s="2646"/>
      <c r="P36" s="2635"/>
      <c r="Q36" s="2635"/>
      <c r="R36" s="2635"/>
      <c r="S36" s="2635"/>
      <c r="T36" s="2635"/>
      <c r="U36" s="2635"/>
      <c r="V36" s="2635"/>
    </row>
    <row r="37" spans="1:30">
      <c r="A37" s="2827" t="s">
        <v>2917</v>
      </c>
      <c r="B37" s="2627"/>
      <c r="C37" s="2627"/>
      <c r="D37" s="2627"/>
      <c r="E37" s="2627"/>
      <c r="F37" s="2867"/>
      <c r="G37" s="2861"/>
      <c r="H37" s="2861"/>
      <c r="I37" s="2861"/>
      <c r="J37" s="2635"/>
      <c r="K37" s="2812"/>
      <c r="L37" s="2809"/>
      <c r="M37" s="2809"/>
      <c r="N37" s="2635"/>
      <c r="O37" s="2646"/>
      <c r="P37" s="2635"/>
      <c r="Q37" s="2635"/>
      <c r="R37" s="2635"/>
      <c r="S37" s="2635"/>
      <c r="T37" s="2635"/>
      <c r="U37" s="2635"/>
      <c r="V37" s="2635"/>
    </row>
    <row r="38" spans="1:30" ht="13.5" thickBot="1">
      <c r="A38" s="2828" t="s">
        <v>2918</v>
      </c>
      <c r="B38" s="2628"/>
      <c r="C38" s="2628"/>
      <c r="D38" s="2628"/>
      <c r="E38" s="2628"/>
      <c r="F38" s="2868"/>
      <c r="G38" s="2862"/>
      <c r="H38" s="2862"/>
      <c r="I38" s="2862"/>
      <c r="J38" s="2635"/>
      <c r="K38" s="2812"/>
      <c r="L38" s="2809"/>
      <c r="M38" s="2809"/>
      <c r="N38" s="2635"/>
      <c r="O38" s="2646"/>
      <c r="P38" s="2635"/>
      <c r="Q38" s="2635"/>
      <c r="R38" s="2635"/>
      <c r="S38" s="2635"/>
      <c r="T38" s="2635"/>
      <c r="U38" s="2635"/>
      <c r="V38" s="2635"/>
    </row>
    <row r="39" spans="1:30" s="2631" customFormat="1" ht="14.25" thickTop="1" thickBot="1">
      <c r="A39" s="2629" t="s">
        <v>2919</v>
      </c>
      <c r="B39" s="2630"/>
      <c r="C39" s="2630"/>
      <c r="D39" s="2630"/>
      <c r="E39" s="2630"/>
      <c r="F39" s="2630"/>
      <c r="G39" s="2630"/>
      <c r="H39" s="2630"/>
      <c r="I39" s="2630"/>
      <c r="J39" s="2819"/>
      <c r="K39" s="2820"/>
      <c r="L39" s="2819"/>
      <c r="M39" s="2819"/>
      <c r="N39" s="2819"/>
      <c r="O39" s="2821"/>
      <c r="P39" s="2819"/>
      <c r="Q39" s="2819"/>
      <c r="R39" s="2819"/>
      <c r="S39" s="2819"/>
      <c r="T39" s="2819"/>
      <c r="U39" s="2819"/>
      <c r="V39" s="2819"/>
      <c r="W39" s="2822"/>
      <c r="X39" s="2822"/>
      <c r="Y39" s="2822"/>
      <c r="Z39" s="2822"/>
      <c r="AA39" s="2822"/>
      <c r="AB39" s="2822"/>
      <c r="AC39" s="2822"/>
      <c r="AD39" s="2822"/>
    </row>
    <row r="40" spans="1:30">
      <c r="A40" s="2564"/>
      <c r="B40" s="2564"/>
      <c r="C40" s="2564"/>
      <c r="D40" s="2564"/>
      <c r="E40" s="2564"/>
      <c r="F40" s="2564"/>
      <c r="G40" s="2564"/>
      <c r="H40" s="2564"/>
      <c r="I40" s="1733"/>
      <c r="J40" s="2705"/>
      <c r="K40" s="2811"/>
      <c r="L40" s="2647"/>
      <c r="M40" s="2647"/>
      <c r="N40" s="2705"/>
      <c r="O40" s="2647"/>
      <c r="P40" s="2635"/>
      <c r="Q40" s="2635"/>
      <c r="R40" s="2635"/>
      <c r="S40" s="2635"/>
      <c r="T40" s="2635"/>
      <c r="U40" s="2635"/>
      <c r="V40" s="2635"/>
    </row>
    <row r="41" spans="1:30">
      <c r="A41" s="2632" t="s">
        <v>2920</v>
      </c>
      <c r="B41" s="1913"/>
      <c r="C41" s="1527"/>
      <c r="D41" s="2564"/>
      <c r="E41" s="2564"/>
      <c r="F41" s="2564"/>
      <c r="G41" s="2564"/>
      <c r="H41" s="2564"/>
      <c r="I41" s="1731"/>
      <c r="J41" s="2635"/>
      <c r="K41" s="2812"/>
      <c r="L41" s="2809"/>
      <c r="M41" s="2809"/>
      <c r="N41" s="2635"/>
      <c r="O41" s="2646"/>
      <c r="P41" s="2635"/>
      <c r="Q41" s="2635"/>
      <c r="R41" s="2635"/>
      <c r="S41" s="2635"/>
      <c r="T41" s="2635"/>
      <c r="U41" s="2635"/>
      <c r="V41" s="2635"/>
    </row>
    <row r="42" spans="1:30" ht="25.5">
      <c r="A42" s="329" t="s">
        <v>2921</v>
      </c>
      <c r="B42" s="11" t="s">
        <v>2922</v>
      </c>
      <c r="C42" s="11" t="s">
        <v>2923</v>
      </c>
      <c r="D42" s="11" t="s">
        <v>2924</v>
      </c>
      <c r="E42" s="11" t="s">
        <v>2925</v>
      </c>
      <c r="F42" s="11" t="s">
        <v>2926</v>
      </c>
      <c r="G42" s="11" t="s">
        <v>2927</v>
      </c>
      <c r="H42" s="11" t="s">
        <v>2928</v>
      </c>
      <c r="I42" s="11" t="s">
        <v>2929</v>
      </c>
      <c r="J42" s="2823" t="s">
        <v>2930</v>
      </c>
      <c r="K42" s="2824" t="s">
        <v>2931</v>
      </c>
      <c r="L42" s="2824" t="s">
        <v>2932</v>
      </c>
      <c r="M42" s="2824" t="s">
        <v>2933</v>
      </c>
      <c r="N42" s="2817" t="s">
        <v>2934</v>
      </c>
      <c r="O42" s="2817" t="s">
        <v>2935</v>
      </c>
      <c r="P42" s="2817" t="s">
        <v>2936</v>
      </c>
      <c r="Q42" s="2818" t="s">
        <v>2937</v>
      </c>
      <c r="R42" s="2818" t="s">
        <v>2938</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f>ROUND('数据-汇总表'!F27/2.5,2)</f>
        <v>20467.919999999998</v>
      </c>
      <c r="B3" s="14">
        <f>IF(C3="否",G5-AT5,G5)</f>
        <v>69898.900000000009</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69898.900000000009</v>
      </c>
      <c r="H5" s="16">
        <f t="shared" ref="H5:AT5" si="0">SUM(H13:H656)</f>
        <v>69898.900000000009</v>
      </c>
      <c r="I5" s="16">
        <f t="shared" si="0"/>
        <v>7558.7</v>
      </c>
      <c r="J5" s="16">
        <f t="shared" si="0"/>
        <v>0</v>
      </c>
      <c r="K5" s="16">
        <f t="shared" si="0"/>
        <v>43611.100000000006</v>
      </c>
      <c r="L5" s="16">
        <f t="shared" si="0"/>
        <v>0</v>
      </c>
      <c r="M5" s="16">
        <f t="shared" si="0"/>
        <v>18377.89</v>
      </c>
      <c r="N5" s="16">
        <f t="shared" si="0"/>
        <v>0</v>
      </c>
      <c r="O5" s="16">
        <f t="shared" si="0"/>
        <v>351.21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69898.900000000009</v>
      </c>
      <c r="BA5" s="18">
        <f t="shared" si="1"/>
        <v>69898.900000000009</v>
      </c>
      <c r="BB5" s="18">
        <f t="shared" si="1"/>
        <v>7558.7</v>
      </c>
      <c r="BC5" s="18">
        <f t="shared" si="1"/>
        <v>43611.100000000006</v>
      </c>
      <c r="BD5" s="18">
        <f t="shared" si="1"/>
        <v>18377.89</v>
      </c>
      <c r="BE5" s="18">
        <f t="shared" si="1"/>
        <v>351.21</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20467.920000000002</v>
      </c>
      <c r="F6" s="16" t="s">
        <v>1</v>
      </c>
      <c r="G6" s="16" t="s">
        <v>2</v>
      </c>
      <c r="H6" s="20">
        <f>SUMIF(I$12:AB$12,"总值",I6:AB6)</f>
        <v>20467.920000000002</v>
      </c>
      <c r="I6" s="16">
        <f t="shared" ref="I6:AB6" si="2">ROUND($A$3*I5/$B$3,2)</f>
        <v>2213.35</v>
      </c>
      <c r="J6" s="16">
        <f t="shared" si="2"/>
        <v>0</v>
      </c>
      <c r="K6" s="16">
        <f t="shared" si="2"/>
        <v>12770.28</v>
      </c>
      <c r="L6" s="16">
        <f t="shared" si="2"/>
        <v>0</v>
      </c>
      <c r="M6" s="16">
        <f t="shared" si="2"/>
        <v>5381.45</v>
      </c>
      <c r="N6" s="16">
        <f t="shared" si="2"/>
        <v>0</v>
      </c>
      <c r="O6" s="16">
        <f t="shared" si="2"/>
        <v>102.84</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20467.919999999998</v>
      </c>
      <c r="AZ6" s="16" t="s">
        <v>3</v>
      </c>
      <c r="BA6" s="16">
        <f>ROUND($AY$6*BA5/$AZ$5,2)</f>
        <v>20467.919999999998</v>
      </c>
      <c r="BB6" s="16">
        <f>ROUND($AY$6*BB5/$AZ$5,2)</f>
        <v>2213.35</v>
      </c>
      <c r="BC6" s="16">
        <f t="shared" ref="BC6:BH6" si="4">ROUND($AY$6*BC5/$AZ$5,2)</f>
        <v>12770.28</v>
      </c>
      <c r="BD6" s="16">
        <f t="shared" si="4"/>
        <v>5381.45</v>
      </c>
      <c r="BE6" s="16">
        <f t="shared" si="4"/>
        <v>102.84</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3128</v>
      </c>
      <c r="J9" s="918"/>
      <c r="K9" s="1758" t="s">
        <v>3128</v>
      </c>
      <c r="L9" s="918"/>
      <c r="M9" s="1758" t="s">
        <v>3129</v>
      </c>
      <c r="N9" s="918"/>
      <c r="O9" s="1758" t="s">
        <v>3129</v>
      </c>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27</v>
      </c>
      <c r="J10" s="918"/>
      <c r="K10" s="1764" t="s">
        <v>1283</v>
      </c>
      <c r="L10" s="918"/>
      <c r="M10" s="1764" t="s">
        <v>1283</v>
      </c>
      <c r="N10" s="918"/>
      <c r="O10" s="1764" t="s">
        <v>3130</v>
      </c>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t="str">
        <f>K9</f>
        <v>地上</v>
      </c>
      <c r="BD10" s="29" t="str">
        <f>M9</f>
        <v>地下</v>
      </c>
      <c r="BE10" s="29" t="str">
        <f>O9</f>
        <v>地下</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办公</v>
      </c>
      <c r="BC11" s="1754" t="str">
        <f>K10</f>
        <v>商业</v>
      </c>
      <c r="BD11" s="1754" t="str">
        <f>M10</f>
        <v>商业</v>
      </c>
      <c r="BE11" s="1754" t="str">
        <f>O10</f>
        <v>车库—商业</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v>2.5</v>
      </c>
      <c r="B13" s="1182"/>
      <c r="C13" s="1182"/>
      <c r="D13" s="1780" t="s">
        <v>3199</v>
      </c>
      <c r="E13" s="16">
        <f>IF($C$3="是",ROUND($A$3*G13/$B$3,2),ROUND($A$3*(G13-AT13)/$B$3,2))</f>
        <v>20467.919999999998</v>
      </c>
      <c r="F13" s="32"/>
      <c r="G13" s="33">
        <f>H13+AC13+AT13</f>
        <v>69898.900000000009</v>
      </c>
      <c r="H13" s="20">
        <f>SUMIF(I$12:AB$12,"总值",I13:AB13)</f>
        <v>69898.900000000009</v>
      </c>
      <c r="I13" s="1781">
        <f>清单!L21</f>
        <v>7558.7</v>
      </c>
      <c r="J13" s="1781"/>
      <c r="K13" s="1781">
        <f>清单!J17+清单!J18+清单!J19+清单!J20</f>
        <v>43611.100000000006</v>
      </c>
      <c r="L13" s="1781"/>
      <c r="M13" s="1781">
        <f>清单!J16</f>
        <v>18377.89</v>
      </c>
      <c r="N13" s="1781"/>
      <c r="O13" s="1781">
        <f>清单!K16</f>
        <v>351.21</v>
      </c>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2.5</v>
      </c>
      <c r="AW13" s="11">
        <f t="shared" si="6"/>
        <v>0</v>
      </c>
      <c r="AX13" s="11">
        <f t="shared" si="6"/>
        <v>0</v>
      </c>
      <c r="AY13" s="1503">
        <f>ROUND($AY$6*AZ13/$AZ$5,2)</f>
        <v>20467.919999999998</v>
      </c>
      <c r="AZ13" s="16">
        <f>BA13+BL13</f>
        <v>69898.900000000009</v>
      </c>
      <c r="BA13" s="16">
        <f>SUM(BB13:BK13)</f>
        <v>69898.900000000009</v>
      </c>
      <c r="BB13" s="16">
        <f>IF($D13="是",I13-J13,0)</f>
        <v>7558.7</v>
      </c>
      <c r="BC13" s="16">
        <f>IF($D13="是",K13-L13,0)</f>
        <v>43611.100000000006</v>
      </c>
      <c r="BD13" s="16">
        <f>IF($D13="是",M13-N13,0)</f>
        <v>18377.89</v>
      </c>
      <c r="BE13" s="16">
        <f>IF($D13="是",O13-P13,0)</f>
        <v>351.21</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23" t="s">
        <v>0</v>
      </c>
      <c r="B1" s="3423" t="s">
        <v>4</v>
      </c>
      <c r="C1" s="3423" t="s">
        <v>5</v>
      </c>
      <c r="D1" s="3424" t="s">
        <v>53</v>
      </c>
      <c r="E1" s="3424" t="s">
        <v>54</v>
      </c>
      <c r="F1" s="3424"/>
      <c r="G1" s="3424"/>
      <c r="H1" s="3424"/>
      <c r="I1" s="3424"/>
      <c r="J1" s="3424"/>
      <c r="K1" s="3424"/>
      <c r="L1" s="3424"/>
      <c r="M1" s="3424"/>
    </row>
    <row r="2" spans="1:13" ht="27" customHeight="1">
      <c r="A2" s="3423"/>
      <c r="B2" s="3423"/>
      <c r="C2" s="3423"/>
      <c r="D2" s="3424"/>
      <c r="E2" s="3424" t="s">
        <v>37</v>
      </c>
      <c r="F2" s="3424" t="s">
        <v>38</v>
      </c>
      <c r="G2" s="3424"/>
      <c r="H2" s="3424"/>
      <c r="I2" s="3424"/>
      <c r="J2" s="3424" t="s">
        <v>39</v>
      </c>
      <c r="K2" s="3424"/>
      <c r="L2" s="3424"/>
      <c r="M2" s="3424"/>
    </row>
    <row r="3" spans="1:13" ht="28.5">
      <c r="A3" s="3423"/>
      <c r="B3" s="3423"/>
      <c r="C3" s="3423"/>
      <c r="D3" s="3424"/>
      <c r="E3" s="342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24" t="s">
        <v>55</v>
      </c>
      <c r="B9" s="3424"/>
      <c r="C9" s="342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P109"/>
  <sheetViews>
    <sheetView topLeftCell="C39" workbookViewId="0">
      <selection activeCell="E65" sqref="E65"/>
    </sheetView>
  </sheetViews>
  <sheetFormatPr defaultColWidth="8.375" defaultRowHeight="13.5"/>
  <cols>
    <col min="1" max="1" width="8.375" style="1379"/>
    <col min="2" max="2" width="32.5" style="1379" customWidth="1"/>
    <col min="3" max="3" width="38.375" style="1379" customWidth="1"/>
    <col min="4" max="4" width="9.75" style="1379" customWidth="1"/>
    <col min="5" max="5" width="14.25" style="1379" customWidth="1"/>
    <col min="6" max="8" width="8.375" style="1379"/>
    <col min="9" max="9" width="8.375" style="1379" customWidth="1"/>
    <col min="10" max="10" width="10.125" style="1379" customWidth="1"/>
    <col min="11" max="11" width="8.375" style="1379"/>
    <col min="12" max="12" width="17.5" style="1379" customWidth="1"/>
    <col min="13" max="16384" width="8.375" style="1379"/>
  </cols>
  <sheetData>
    <row r="4" spans="2:16" ht="14.25" thickBot="1">
      <c r="B4" s="3425" t="s">
        <v>3131</v>
      </c>
      <c r="C4" s="3425"/>
      <c r="I4" s="3425" t="s">
        <v>3132</v>
      </c>
      <c r="J4" s="3425"/>
    </row>
    <row r="5" spans="2:16" ht="24.75" thickBot="1">
      <c r="B5" s="3217" t="s">
        <v>3133</v>
      </c>
      <c r="C5" s="3218" t="s">
        <v>3134</v>
      </c>
      <c r="D5" s="3218" t="s">
        <v>3135</v>
      </c>
      <c r="E5" s="3426" t="s">
        <v>3136</v>
      </c>
      <c r="F5" s="3427"/>
      <c r="G5" s="3428"/>
      <c r="H5" s="3429"/>
      <c r="I5" s="3219" t="s">
        <v>3137</v>
      </c>
      <c r="J5" s="3220" t="s">
        <v>3138</v>
      </c>
      <c r="K5" s="3220" t="s">
        <v>3139</v>
      </c>
      <c r="L5" s="3220" t="s">
        <v>3140</v>
      </c>
    </row>
    <row r="6" spans="2:16" ht="23.25" thickBot="1">
      <c r="B6" s="3221" t="s">
        <v>3141</v>
      </c>
      <c r="C6" s="3222" t="s">
        <v>3722</v>
      </c>
      <c r="D6" s="3222">
        <v>18729.099999999999</v>
      </c>
      <c r="E6" s="3430" t="s">
        <v>3142</v>
      </c>
      <c r="F6" s="3431"/>
      <c r="G6" s="3428"/>
      <c r="H6" s="3429"/>
      <c r="I6" s="3223" t="s">
        <v>3143</v>
      </c>
      <c r="J6" s="3224">
        <v>7</v>
      </c>
      <c r="K6" s="3224">
        <v>623.66</v>
      </c>
      <c r="L6" s="3225" t="s">
        <v>3144</v>
      </c>
    </row>
    <row r="7" spans="2:16" ht="23.25" thickBot="1">
      <c r="B7" s="3226" t="s">
        <v>3145</v>
      </c>
      <c r="C7" s="3222" t="s">
        <v>3146</v>
      </c>
      <c r="D7" s="3222">
        <v>10377.92</v>
      </c>
      <c r="E7" s="3430" t="s">
        <v>1283</v>
      </c>
      <c r="F7" s="3431"/>
      <c r="G7" s="3428"/>
      <c r="H7" s="3429"/>
      <c r="I7" s="3223" t="s">
        <v>3143</v>
      </c>
      <c r="J7" s="3224">
        <v>8</v>
      </c>
      <c r="K7" s="3224">
        <v>1247.32</v>
      </c>
      <c r="L7" s="3225" t="s">
        <v>3147</v>
      </c>
    </row>
    <row r="8" spans="2:16" ht="23.25" thickBot="1">
      <c r="B8" s="3232" t="s">
        <v>3148</v>
      </c>
      <c r="C8" s="3233" t="s">
        <v>3149</v>
      </c>
      <c r="D8" s="3233">
        <v>7784.56</v>
      </c>
      <c r="E8" s="3437" t="s">
        <v>1283</v>
      </c>
      <c r="F8" s="3438"/>
      <c r="G8" s="3428"/>
      <c r="H8" s="3429"/>
      <c r="I8" s="3223" t="s">
        <v>3143</v>
      </c>
      <c r="J8" s="3224">
        <v>9</v>
      </c>
      <c r="K8" s="3224">
        <v>1247.32</v>
      </c>
      <c r="L8" s="3225" t="s">
        <v>3150</v>
      </c>
    </row>
    <row r="9" spans="2:16" ht="23.25" thickBot="1">
      <c r="B9" s="3226" t="s">
        <v>3151</v>
      </c>
      <c r="C9" s="3222" t="s">
        <v>3152</v>
      </c>
      <c r="D9" s="3222">
        <v>10758.39</v>
      </c>
      <c r="E9" s="3430" t="s">
        <v>1283</v>
      </c>
      <c r="F9" s="3431"/>
      <c r="G9" s="3428"/>
      <c r="H9" s="3429"/>
      <c r="I9" s="3223" t="s">
        <v>3143</v>
      </c>
      <c r="J9" s="3224">
        <v>10</v>
      </c>
      <c r="K9" s="3224">
        <v>1247.32</v>
      </c>
      <c r="L9" s="3225" t="s">
        <v>3153</v>
      </c>
    </row>
    <row r="10" spans="2:16" ht="23.25" thickBot="1">
      <c r="B10" s="3240" t="s">
        <v>3154</v>
      </c>
      <c r="C10" s="3241" t="s">
        <v>3155</v>
      </c>
      <c r="D10" s="3241">
        <v>7771.88</v>
      </c>
      <c r="E10" s="3445" t="s">
        <v>1283</v>
      </c>
      <c r="F10" s="3446"/>
      <c r="I10" s="3223" t="s">
        <v>3143</v>
      </c>
      <c r="J10" s="3224">
        <v>20</v>
      </c>
      <c r="K10" s="3224">
        <v>1247.32</v>
      </c>
      <c r="L10" s="3225" t="s">
        <v>3156</v>
      </c>
    </row>
    <row r="11" spans="2:16" ht="23.25" thickBot="1">
      <c r="B11" s="3221" t="s">
        <v>3157</v>
      </c>
      <c r="C11" s="3222" t="s">
        <v>3158</v>
      </c>
      <c r="D11" s="3222">
        <v>5675.19</v>
      </c>
      <c r="E11" s="3430" t="s">
        <v>1283</v>
      </c>
      <c r="F11" s="3431"/>
      <c r="I11" s="3223" t="s">
        <v>3143</v>
      </c>
      <c r="J11" s="3224">
        <v>21</v>
      </c>
      <c r="K11" s="3224">
        <v>1247.32</v>
      </c>
      <c r="L11" s="3222" t="s">
        <v>3159</v>
      </c>
      <c r="P11" s="1379">
        <v>1247.32</v>
      </c>
    </row>
    <row r="12" spans="2:16" ht="23.25" thickBot="1">
      <c r="B12" s="3447" t="s">
        <v>37</v>
      </c>
      <c r="C12" s="3448"/>
      <c r="D12" s="3227">
        <v>61097.04</v>
      </c>
      <c r="E12" s="3449"/>
      <c r="F12" s="3450"/>
      <c r="I12" s="3223" t="s">
        <v>3143</v>
      </c>
      <c r="J12" s="3224">
        <v>24</v>
      </c>
      <c r="K12" s="3224">
        <v>698.44</v>
      </c>
      <c r="L12" s="3222" t="s">
        <v>3160</v>
      </c>
      <c r="P12" s="1379">
        <f>P11*24</f>
        <v>29935.68</v>
      </c>
    </row>
    <row r="13" spans="2:16" ht="14.25" thickBot="1">
      <c r="B13" s="3219" t="s">
        <v>3137</v>
      </c>
      <c r="C13" s="3220" t="s">
        <v>3138</v>
      </c>
      <c r="D13" s="3220" t="s">
        <v>3139</v>
      </c>
      <c r="E13" s="3220" t="s">
        <v>3140</v>
      </c>
      <c r="F13" s="3220" t="s">
        <v>3161</v>
      </c>
      <c r="I13" s="3432" t="s">
        <v>37</v>
      </c>
      <c r="J13" s="3433"/>
      <c r="K13" s="3228">
        <v>7558.7</v>
      </c>
      <c r="L13" s="3229"/>
    </row>
    <row r="14" spans="2:16" ht="23.25" thickBot="1">
      <c r="B14" s="3234" t="s">
        <v>1283</v>
      </c>
      <c r="C14" s="3434" t="s">
        <v>3162</v>
      </c>
      <c r="D14" s="3235">
        <v>70.260000000000005</v>
      </c>
      <c r="E14" s="3236" t="s">
        <v>3753</v>
      </c>
      <c r="F14" s="3235" t="s">
        <v>3163</v>
      </c>
    </row>
    <row r="15" spans="2:16" ht="23.25" thickBot="1">
      <c r="B15" s="3234" t="s">
        <v>1283</v>
      </c>
      <c r="C15" s="3435"/>
      <c r="D15" s="3235">
        <v>47.11</v>
      </c>
      <c r="E15" s="3236" t="s">
        <v>3754</v>
      </c>
      <c r="F15" s="3235" t="s">
        <v>3164</v>
      </c>
      <c r="I15" s="3246"/>
      <c r="J15" s="3247" t="s">
        <v>3187</v>
      </c>
      <c r="K15" s="3247" t="s">
        <v>3188</v>
      </c>
      <c r="L15" s="3247" t="s">
        <v>3189</v>
      </c>
      <c r="P15" s="1379">
        <f>J17+J18+J19+J20</f>
        <v>43611.100000000006</v>
      </c>
    </row>
    <row r="16" spans="2:16" ht="23.25" thickBot="1">
      <c r="B16" s="3234" t="s">
        <v>1283</v>
      </c>
      <c r="C16" s="3435"/>
      <c r="D16" s="3235">
        <v>92.04</v>
      </c>
      <c r="E16" s="3236" t="s">
        <v>3755</v>
      </c>
      <c r="F16" s="3235" t="s">
        <v>3165</v>
      </c>
      <c r="I16" s="3247" t="s">
        <v>3186</v>
      </c>
      <c r="J16" s="3246">
        <v>18377.89</v>
      </c>
      <c r="K16" s="3246">
        <v>351.21</v>
      </c>
      <c r="L16" s="3246"/>
      <c r="P16" s="1379">
        <f>P12+P15</f>
        <v>73546.78</v>
      </c>
    </row>
    <row r="17" spans="2:12" ht="23.25" thickBot="1">
      <c r="B17" s="3234" t="s">
        <v>1283</v>
      </c>
      <c r="C17" s="3435"/>
      <c r="D17" s="3235">
        <v>70.260000000000005</v>
      </c>
      <c r="E17" s="3236" t="s">
        <v>3756</v>
      </c>
      <c r="F17" s="3235" t="s">
        <v>3166</v>
      </c>
      <c r="I17" s="3247" t="s">
        <v>3182</v>
      </c>
      <c r="J17" s="3246">
        <f>D8+SUM(D14:D28)+D35</f>
        <v>9953.19</v>
      </c>
      <c r="K17" s="3246"/>
      <c r="L17" s="3246"/>
    </row>
    <row r="18" spans="2:12" ht="23.25" thickBot="1">
      <c r="B18" s="3234" t="s">
        <v>1283</v>
      </c>
      <c r="C18" s="3435"/>
      <c r="D18" s="3235">
        <v>55.07</v>
      </c>
      <c r="E18" s="3236" t="s">
        <v>3757</v>
      </c>
      <c r="F18" s="3235" t="s">
        <v>3167</v>
      </c>
      <c r="I18" s="3247" t="s">
        <v>3183</v>
      </c>
      <c r="J18" s="3246">
        <f>D10+D29+D30+D31+D36</f>
        <v>10695.25</v>
      </c>
      <c r="K18" s="3246"/>
      <c r="L18" s="3246"/>
    </row>
    <row r="19" spans="2:12" ht="23.25" thickBot="1">
      <c r="B19" s="3234" t="s">
        <v>1283</v>
      </c>
      <c r="C19" s="3435"/>
      <c r="D19" s="3235">
        <v>55.07</v>
      </c>
      <c r="E19" s="3236" t="s">
        <v>3758</v>
      </c>
      <c r="F19" s="3235" t="s">
        <v>3168</v>
      </c>
      <c r="I19" s="3247" t="s">
        <v>3184</v>
      </c>
      <c r="J19" s="3246">
        <f>D7+D37</f>
        <v>11475</v>
      </c>
      <c r="K19" s="3246"/>
      <c r="L19" s="3246"/>
    </row>
    <row r="20" spans="2:12" ht="23.25" thickBot="1">
      <c r="B20" s="3234" t="s">
        <v>1283</v>
      </c>
      <c r="C20" s="3435"/>
      <c r="D20" s="3235">
        <v>35.46</v>
      </c>
      <c r="E20" s="3236" t="s">
        <v>3759</v>
      </c>
      <c r="F20" s="3235" t="s">
        <v>3169</v>
      </c>
      <c r="I20" s="3247" t="s">
        <v>3185</v>
      </c>
      <c r="J20" s="3246">
        <f>D9+D38</f>
        <v>11487.66</v>
      </c>
      <c r="K20" s="3246"/>
      <c r="L20" s="3246"/>
    </row>
    <row r="21" spans="2:12" ht="23.25" thickBot="1">
      <c r="B21" s="3234" t="s">
        <v>1283</v>
      </c>
      <c r="C21" s="3435"/>
      <c r="D21" s="3235">
        <v>49.57</v>
      </c>
      <c r="E21" s="3236" t="s">
        <v>3760</v>
      </c>
      <c r="F21" s="3235" t="s">
        <v>3170</v>
      </c>
      <c r="I21" s="3247" t="s">
        <v>3190</v>
      </c>
      <c r="J21" s="3246"/>
      <c r="K21" s="3246"/>
      <c r="L21" s="3246">
        <f>K13</f>
        <v>7558.7</v>
      </c>
    </row>
    <row r="22" spans="2:12" ht="23.25" thickBot="1">
      <c r="B22" s="3234" t="s">
        <v>1283</v>
      </c>
      <c r="C22" s="3435"/>
      <c r="D22" s="3235">
        <v>107.69</v>
      </c>
      <c r="E22" s="3236" t="s">
        <v>3761</v>
      </c>
      <c r="F22" s="3235" t="s">
        <v>3171</v>
      </c>
    </row>
    <row r="23" spans="2:12" ht="23.25" thickBot="1">
      <c r="B23" s="3234" t="s">
        <v>1283</v>
      </c>
      <c r="C23" s="3435"/>
      <c r="D23" s="3235">
        <v>113.81</v>
      </c>
      <c r="E23" s="3236" t="s">
        <v>3762</v>
      </c>
      <c r="F23" s="3235" t="s">
        <v>3172</v>
      </c>
    </row>
    <row r="24" spans="2:12" ht="23.25" thickBot="1">
      <c r="B24" s="3234" t="s">
        <v>1283</v>
      </c>
      <c r="C24" s="3435"/>
      <c r="D24" s="3235">
        <v>99.32</v>
      </c>
      <c r="E24" s="3236" t="s">
        <v>3763</v>
      </c>
      <c r="F24" s="3235" t="s">
        <v>3173</v>
      </c>
    </row>
    <row r="25" spans="2:12" ht="23.25" thickBot="1">
      <c r="B25" s="3234" t="s">
        <v>1283</v>
      </c>
      <c r="C25" s="3435"/>
      <c r="D25" s="3235">
        <v>67.099999999999994</v>
      </c>
      <c r="E25" s="3236" t="s">
        <v>3764</v>
      </c>
      <c r="F25" s="3235" t="s">
        <v>3174</v>
      </c>
    </row>
    <row r="26" spans="2:12" ht="23.25" thickBot="1">
      <c r="B26" s="3234" t="s">
        <v>1283</v>
      </c>
      <c r="C26" s="3435"/>
      <c r="D26" s="3235">
        <v>67.099999999999994</v>
      </c>
      <c r="E26" s="3236" t="s">
        <v>3765</v>
      </c>
      <c r="F26" s="3235" t="s">
        <v>3175</v>
      </c>
    </row>
    <row r="27" spans="2:12" ht="23.25" thickBot="1">
      <c r="B27" s="3234" t="s">
        <v>1283</v>
      </c>
      <c r="C27" s="3435"/>
      <c r="D27" s="3237">
        <v>29.31</v>
      </c>
      <c r="E27" s="3238" t="s">
        <v>3766</v>
      </c>
      <c r="F27" s="3239" t="s">
        <v>3176</v>
      </c>
    </row>
    <row r="28" spans="2:12" ht="23.25" thickBot="1">
      <c r="B28" s="3234" t="s">
        <v>1283</v>
      </c>
      <c r="C28" s="3436"/>
      <c r="D28" s="3237">
        <v>64.760000000000005</v>
      </c>
      <c r="E28" s="3238" t="s">
        <v>3767</v>
      </c>
      <c r="F28" s="3239" t="s">
        <v>3177</v>
      </c>
    </row>
    <row r="29" spans="2:12" ht="23.25" thickBot="1">
      <c r="B29" s="3242" t="s">
        <v>1283</v>
      </c>
      <c r="C29" s="3439" t="s">
        <v>3178</v>
      </c>
      <c r="D29" s="3243">
        <v>90.56</v>
      </c>
      <c r="E29" s="3244" t="s">
        <v>3768</v>
      </c>
      <c r="F29" s="3245" t="s">
        <v>3179</v>
      </c>
    </row>
    <row r="30" spans="2:12" ht="23.25" thickBot="1">
      <c r="B30" s="3242" t="s">
        <v>1283</v>
      </c>
      <c r="C30" s="3440"/>
      <c r="D30" s="3243">
        <v>95.08</v>
      </c>
      <c r="E30" s="3244" t="s">
        <v>3769</v>
      </c>
      <c r="F30" s="3245" t="s">
        <v>3180</v>
      </c>
    </row>
    <row r="31" spans="2:12" ht="23.25" thickBot="1">
      <c r="B31" s="3242" t="s">
        <v>1283</v>
      </c>
      <c r="C31" s="3441"/>
      <c r="D31" s="3243">
        <v>33.590000000000003</v>
      </c>
      <c r="E31" s="3244" t="s">
        <v>3770</v>
      </c>
      <c r="F31" s="3245" t="s">
        <v>3181</v>
      </c>
    </row>
    <row r="32" spans="2:12" ht="14.25" thickBot="1">
      <c r="B32" s="3442" t="s">
        <v>37</v>
      </c>
      <c r="C32" s="3443"/>
      <c r="D32" s="3230">
        <v>1243.1600000000001</v>
      </c>
      <c r="E32" s="3231"/>
      <c r="F32" s="3231"/>
    </row>
    <row r="35" spans="1:4">
      <c r="B35" s="3444" t="str">
        <f>B11</f>
        <v>渝（2018）綦江区不动产权第000944001号</v>
      </c>
      <c r="C35" s="3247" t="s">
        <v>3182</v>
      </c>
      <c r="D35" s="3246">
        <f>35.78+58.61+55.33+54.62+86.36+83.48+40.99+35.88+55.76+57.25+52.67+52.67+61.54+54.25+60.24+54.98+62.22+58.71+25.77+28.41+42.88+26.3</f>
        <v>1144.7</v>
      </c>
    </row>
    <row r="36" spans="1:4">
      <c r="B36" s="3444"/>
      <c r="C36" s="3247" t="s">
        <v>3183</v>
      </c>
      <c r="D36" s="3246">
        <f>41.37+41.37+68.14+68.14+73.01+73.01+71.54+71.54+96.64+60.66+56.22+61.04+56.6+67.25+76.85+67.25+67.25+59.02+87.77+57.75+57.75+42.74+58.78+80.93+90.48+93.86+50.58+50.43+42.14+62.88+50.43+50.42+65.68+48.14+61.53+46.81+42.03+64.15+64.99+96.28+91.7+68.99</f>
        <v>2704.14</v>
      </c>
    </row>
    <row r="37" spans="1:4">
      <c r="B37" s="3444"/>
      <c r="C37" s="3247" t="s">
        <v>3184</v>
      </c>
      <c r="D37" s="3246">
        <f>42.02+42.02+69.2+69.2+74.15+74.15+72.66+72.66+61.6+57.09+61.99+57.48+68.29+78.05+68.29+68.29+59.94</f>
        <v>1097.08</v>
      </c>
    </row>
    <row r="38" spans="1:4">
      <c r="B38" s="3444"/>
      <c r="C38" s="3247" t="s">
        <v>3185</v>
      </c>
      <c r="D38" s="3246">
        <f>41.42+41.42+68.22+68.22+73.1+73.1+71.63+71.63+69.95+55.38+95.2</f>
        <v>729.2700000000001</v>
      </c>
    </row>
    <row r="39" spans="1:4">
      <c r="B39" s="3246"/>
      <c r="C39" s="3246"/>
      <c r="D39" s="3246">
        <f>SUM(D35:D38)</f>
        <v>5675.1900000000005</v>
      </c>
    </row>
    <row r="43" spans="1:4">
      <c r="A43" s="3349" t="s">
        <v>3721</v>
      </c>
      <c r="B43" s="3349" t="s">
        <v>3720</v>
      </c>
      <c r="C43" s="3349" t="s">
        <v>3719</v>
      </c>
      <c r="D43" s="3349" t="s">
        <v>3718</v>
      </c>
    </row>
    <row r="44" spans="1:4">
      <c r="A44" s="3349">
        <v>1</v>
      </c>
      <c r="B44" s="3349" t="str">
        <f>B6</f>
        <v>渝（2018）綦江区不动产权第000943986号</v>
      </c>
      <c r="C44" s="3349" t="s">
        <v>3722</v>
      </c>
      <c r="D44" s="3349">
        <f t="shared" ref="D44" si="0">D6</f>
        <v>18729.099999999999</v>
      </c>
    </row>
    <row r="45" spans="1:4">
      <c r="A45" s="3349">
        <v>3</v>
      </c>
      <c r="B45" s="3349" t="str">
        <f>B8</f>
        <v>渝（2020）綦江区不动产权第000185362号</v>
      </c>
      <c r="C45" s="3349" t="s">
        <v>3723</v>
      </c>
      <c r="D45" s="3349">
        <f>D8</f>
        <v>7784.56</v>
      </c>
    </row>
    <row r="46" spans="1:4">
      <c r="A46" s="3349">
        <v>5</v>
      </c>
      <c r="B46" s="3349" t="str">
        <f>B10</f>
        <v>渝（2018）綦江区不动产权第000943992号</v>
      </c>
      <c r="C46" s="3349" t="s">
        <v>3725</v>
      </c>
      <c r="D46" s="3349">
        <f>D10</f>
        <v>7771.88</v>
      </c>
    </row>
    <row r="47" spans="1:4">
      <c r="A47" s="3349">
        <v>2</v>
      </c>
      <c r="B47" s="3349" t="str">
        <f>B7</f>
        <v>渝（2018）綦江区不动产权第000943988号</v>
      </c>
      <c r="C47" s="3349" t="s">
        <v>3726</v>
      </c>
      <c r="D47" s="3349">
        <f t="shared" ref="D47" si="1">D7</f>
        <v>10377.92</v>
      </c>
    </row>
    <row r="48" spans="1:4">
      <c r="A48" s="3349">
        <v>4</v>
      </c>
      <c r="B48" s="3349" t="str">
        <f>B9</f>
        <v>渝（2020）綦江区不动产权第000131238号</v>
      </c>
      <c r="C48" s="3349" t="s">
        <v>3724</v>
      </c>
      <c r="D48" s="3349">
        <f t="shared" ref="D48" si="2">D9</f>
        <v>10758.39</v>
      </c>
    </row>
    <row r="49" spans="1:7">
      <c r="A49" s="3349">
        <v>6</v>
      </c>
      <c r="B49" s="3349" t="str">
        <f>B11</f>
        <v>渝（2018）綦江区不动产权第000944001号</v>
      </c>
      <c r="C49" s="3349" t="s">
        <v>3727</v>
      </c>
      <c r="D49" s="3349">
        <f t="shared" ref="D49" si="3">D11</f>
        <v>5675.19</v>
      </c>
    </row>
    <row r="50" spans="1:7">
      <c r="A50" s="3349">
        <v>7</v>
      </c>
      <c r="B50" s="3349" t="str">
        <f t="shared" ref="B50:B67" si="4">E14</f>
        <v>渝(2020)綦江区不动产权第000157709号</v>
      </c>
      <c r="C50" s="3349" t="s">
        <v>3739</v>
      </c>
      <c r="D50" s="3349">
        <f>D14</f>
        <v>70.260000000000005</v>
      </c>
    </row>
    <row r="51" spans="1:7">
      <c r="A51" s="3349">
        <v>8</v>
      </c>
      <c r="B51" s="3349" t="str">
        <f t="shared" si="4"/>
        <v>渝(2020)綦江区不动产权第000157711号</v>
      </c>
      <c r="C51" s="3349" t="s">
        <v>3740</v>
      </c>
      <c r="D51" s="3349">
        <f t="shared" ref="D51:D67" si="5">D15</f>
        <v>47.11</v>
      </c>
    </row>
    <row r="52" spans="1:7">
      <c r="A52" s="3349">
        <v>9</v>
      </c>
      <c r="B52" s="3349" t="str">
        <f t="shared" si="4"/>
        <v>渝(2020)綦江区不动产权第000157712号</v>
      </c>
      <c r="C52" s="3349" t="s">
        <v>3741</v>
      </c>
      <c r="D52" s="3349">
        <f t="shared" si="5"/>
        <v>92.04</v>
      </c>
    </row>
    <row r="53" spans="1:7">
      <c r="A53" s="3349">
        <v>10</v>
      </c>
      <c r="B53" s="3349" t="str">
        <f t="shared" si="4"/>
        <v>渝(2020)綦江区不动产权第000157710号</v>
      </c>
      <c r="C53" s="3349" t="s">
        <v>3742</v>
      </c>
      <c r="D53" s="3349">
        <f t="shared" si="5"/>
        <v>70.260000000000005</v>
      </c>
    </row>
    <row r="54" spans="1:7">
      <c r="A54" s="3349">
        <v>11</v>
      </c>
      <c r="B54" s="3349" t="str">
        <f t="shared" si="4"/>
        <v>渝(2020)綦江区不动产权第000157713号</v>
      </c>
      <c r="C54" s="3349" t="s">
        <v>3731</v>
      </c>
      <c r="D54" s="3349">
        <f t="shared" si="5"/>
        <v>55.07</v>
      </c>
      <c r="G54" s="1379">
        <f>SUM(D50:D62)</f>
        <v>929.8599999999999</v>
      </c>
    </row>
    <row r="55" spans="1:7">
      <c r="A55" s="3349">
        <v>12</v>
      </c>
      <c r="B55" s="3349" t="str">
        <f t="shared" si="4"/>
        <v>渝(2020)綦江区不动产权第000157714号</v>
      </c>
      <c r="C55" s="3349" t="s">
        <v>3743</v>
      </c>
      <c r="D55" s="3349">
        <f t="shared" si="5"/>
        <v>55.07</v>
      </c>
      <c r="G55" s="1379">
        <v>7784.56</v>
      </c>
    </row>
    <row r="56" spans="1:7">
      <c r="A56" s="3349">
        <v>13</v>
      </c>
      <c r="B56" s="3349" t="str">
        <f t="shared" si="4"/>
        <v>渝(2020)綦江区不动产权第000157715号</v>
      </c>
      <c r="C56" s="3349" t="s">
        <v>3744</v>
      </c>
      <c r="D56" s="3349">
        <f t="shared" si="5"/>
        <v>35.46</v>
      </c>
      <c r="G56" s="1379">
        <f>G54+G55</f>
        <v>8714.42</v>
      </c>
    </row>
    <row r="57" spans="1:7">
      <c r="A57" s="3349">
        <v>14</v>
      </c>
      <c r="B57" s="3349" t="str">
        <f t="shared" si="4"/>
        <v>渝(2020)綦江区不动产权第000157716号</v>
      </c>
      <c r="C57" s="3349" t="s">
        <v>3745</v>
      </c>
      <c r="D57" s="3349">
        <f t="shared" si="5"/>
        <v>49.57</v>
      </c>
    </row>
    <row r="58" spans="1:7">
      <c r="A58" s="3349">
        <v>15</v>
      </c>
      <c r="B58" s="3349" t="str">
        <f t="shared" si="4"/>
        <v>渝(2020)綦江区不动产权第000157717号</v>
      </c>
      <c r="C58" s="3349" t="s">
        <v>3750</v>
      </c>
      <c r="D58" s="3349">
        <f t="shared" si="5"/>
        <v>107.69</v>
      </c>
    </row>
    <row r="59" spans="1:7">
      <c r="A59" s="3349">
        <v>16</v>
      </c>
      <c r="B59" s="3349" t="str">
        <f t="shared" si="4"/>
        <v>渝(2020)綦江区不动产权第000157718号</v>
      </c>
      <c r="C59" s="3349" t="s">
        <v>3746</v>
      </c>
      <c r="D59" s="3349">
        <f t="shared" si="5"/>
        <v>113.81</v>
      </c>
    </row>
    <row r="60" spans="1:7">
      <c r="A60" s="3349">
        <v>17</v>
      </c>
      <c r="B60" s="3349" t="str">
        <f t="shared" si="4"/>
        <v>渝(2020)綦江区不动产权第000157719号</v>
      </c>
      <c r="C60" s="3349" t="s">
        <v>3747</v>
      </c>
      <c r="D60" s="3349">
        <f t="shared" si="5"/>
        <v>99.32</v>
      </c>
    </row>
    <row r="61" spans="1:7">
      <c r="A61" s="3349">
        <v>18</v>
      </c>
      <c r="B61" s="3349" t="str">
        <f t="shared" si="4"/>
        <v>渝(2020)綦江区不动产权第000157720号</v>
      </c>
      <c r="C61" s="3349" t="s">
        <v>3748</v>
      </c>
      <c r="D61" s="3349">
        <f t="shared" si="5"/>
        <v>67.099999999999994</v>
      </c>
    </row>
    <row r="62" spans="1:7">
      <c r="A62" s="3349">
        <v>19</v>
      </c>
      <c r="B62" s="3349" t="str">
        <f t="shared" si="4"/>
        <v>渝(2020)綦江区不动产权第000157721号</v>
      </c>
      <c r="C62" s="3349" t="s">
        <v>3749</v>
      </c>
      <c r="D62" s="3349">
        <f t="shared" si="5"/>
        <v>67.099999999999994</v>
      </c>
    </row>
    <row r="63" spans="1:7">
      <c r="A63" s="3349">
        <v>20</v>
      </c>
      <c r="B63" s="3349" t="str">
        <f t="shared" si="4"/>
        <v>渝(2018)綦江区不动产权第000943999号</v>
      </c>
      <c r="C63" s="3349" t="s">
        <v>3751</v>
      </c>
      <c r="D63" s="3349">
        <f t="shared" si="5"/>
        <v>29.31</v>
      </c>
    </row>
    <row r="64" spans="1:7">
      <c r="A64" s="3349">
        <v>21</v>
      </c>
      <c r="B64" s="3349" t="str">
        <f t="shared" si="4"/>
        <v>渝(2018)綦江区不动产权第000943996号</v>
      </c>
      <c r="C64" s="3349" t="s">
        <v>3752</v>
      </c>
      <c r="D64" s="3349">
        <f t="shared" si="5"/>
        <v>64.760000000000005</v>
      </c>
    </row>
    <row r="65" spans="1:4">
      <c r="A65" s="3349">
        <v>22</v>
      </c>
      <c r="B65" s="3349" t="str">
        <f t="shared" si="4"/>
        <v>渝(2018)綦江区不动产权第000944000号</v>
      </c>
      <c r="C65" s="3349" t="s">
        <v>3728</v>
      </c>
      <c r="D65" s="3349">
        <f t="shared" si="5"/>
        <v>90.56</v>
      </c>
    </row>
    <row r="66" spans="1:4">
      <c r="A66" s="3349">
        <v>23</v>
      </c>
      <c r="B66" s="3349" t="str">
        <f t="shared" si="4"/>
        <v>渝(2018)綦江区不动产权第000943998号</v>
      </c>
      <c r="C66" s="3349" t="s">
        <v>3729</v>
      </c>
      <c r="D66" s="3349">
        <f t="shared" si="5"/>
        <v>95.08</v>
      </c>
    </row>
    <row r="67" spans="1:4">
      <c r="A67" s="3349">
        <v>24</v>
      </c>
      <c r="B67" s="3349" t="str">
        <f t="shared" si="4"/>
        <v>渝(2018)綦江区不动产权第000943993号</v>
      </c>
      <c r="C67" s="3349" t="s">
        <v>3730</v>
      </c>
      <c r="D67" s="3349">
        <f t="shared" si="5"/>
        <v>33.590000000000003</v>
      </c>
    </row>
    <row r="68" spans="1:4">
      <c r="A68" s="3349">
        <v>25</v>
      </c>
      <c r="B68" s="3349" t="str">
        <f t="shared" ref="B68:B74" si="6">L6</f>
        <v>渝（2020）綦江区不动产权第000401632号</v>
      </c>
      <c r="C68" s="3349" t="s">
        <v>3732</v>
      </c>
      <c r="D68" s="3349">
        <f>K6</f>
        <v>623.66</v>
      </c>
    </row>
    <row r="69" spans="1:4">
      <c r="A69" s="3349">
        <v>26</v>
      </c>
      <c r="B69" s="3349" t="str">
        <f t="shared" si="6"/>
        <v>渝（2020）綦江区不动产权第000401623号</v>
      </c>
      <c r="C69" s="3349" t="s">
        <v>3733</v>
      </c>
      <c r="D69" s="3349">
        <f t="shared" ref="D69:D74" si="7">K7</f>
        <v>1247.32</v>
      </c>
    </row>
    <row r="70" spans="1:4">
      <c r="A70" s="3349">
        <v>27</v>
      </c>
      <c r="B70" s="3349" t="str">
        <f t="shared" si="6"/>
        <v>渝（2020）綦江区不动产权第000401624号</v>
      </c>
      <c r="C70" s="3349" t="s">
        <v>3734</v>
      </c>
      <c r="D70" s="3349">
        <f t="shared" si="7"/>
        <v>1247.32</v>
      </c>
    </row>
    <row r="71" spans="1:4">
      <c r="A71" s="3349">
        <v>28</v>
      </c>
      <c r="B71" s="3349" t="str">
        <f t="shared" si="6"/>
        <v>渝（2020）綦江区不动产权第000401626号</v>
      </c>
      <c r="C71" s="3349" t="s">
        <v>3735</v>
      </c>
      <c r="D71" s="3349">
        <f t="shared" si="7"/>
        <v>1247.32</v>
      </c>
    </row>
    <row r="72" spans="1:4">
      <c r="A72" s="3349">
        <v>29</v>
      </c>
      <c r="B72" s="3349" t="str">
        <f t="shared" si="6"/>
        <v>渝（2020）綦江区不动产权第000401628号</v>
      </c>
      <c r="C72" s="3349" t="s">
        <v>3736</v>
      </c>
      <c r="D72" s="3349">
        <f t="shared" si="7"/>
        <v>1247.32</v>
      </c>
    </row>
    <row r="73" spans="1:4">
      <c r="A73" s="3349">
        <v>30</v>
      </c>
      <c r="B73" s="3349" t="str">
        <f t="shared" si="6"/>
        <v>渝（2020）綦江区不动产权第000401629号</v>
      </c>
      <c r="C73" s="3349" t="s">
        <v>3737</v>
      </c>
      <c r="D73" s="3349">
        <f t="shared" si="7"/>
        <v>1247.32</v>
      </c>
    </row>
    <row r="74" spans="1:4">
      <c r="A74" s="3349">
        <v>31</v>
      </c>
      <c r="B74" s="3349" t="str">
        <f t="shared" si="6"/>
        <v>渝（2018）綦江区不动产权第000933463号</v>
      </c>
      <c r="C74" s="3349" t="s">
        <v>3738</v>
      </c>
      <c r="D74" s="3349">
        <f t="shared" si="7"/>
        <v>698.44</v>
      </c>
    </row>
    <row r="75" spans="1:4">
      <c r="D75" s="1379">
        <f>SUM(D44:D74)</f>
        <v>69898.900000000023</v>
      </c>
    </row>
    <row r="105" spans="7:11">
      <c r="G105" s="2870" t="str">
        <f t="shared" ref="G105:H108" si="8">I17</f>
        <v>1F</v>
      </c>
      <c r="H105" s="2870">
        <f t="shared" si="8"/>
        <v>9953.19</v>
      </c>
      <c r="I105" s="2870">
        <v>1</v>
      </c>
      <c r="J105" s="2870">
        <v>4</v>
      </c>
      <c r="K105" s="2870">
        <f>ROUND(H105/$H$109,2)</f>
        <v>0.23</v>
      </c>
    </row>
    <row r="106" spans="7:11">
      <c r="G106" s="2870" t="str">
        <f t="shared" si="8"/>
        <v>2F</v>
      </c>
      <c r="H106" s="2870">
        <f t="shared" si="8"/>
        <v>10695.25</v>
      </c>
      <c r="I106" s="2870">
        <v>0.7</v>
      </c>
      <c r="J106" s="2870">
        <f>I106*J105</f>
        <v>2.8</v>
      </c>
      <c r="K106" s="2870">
        <f t="shared" ref="K106:K108" si="9">ROUND(H106/$H$109,2)</f>
        <v>0.25</v>
      </c>
    </row>
    <row r="107" spans="7:11">
      <c r="G107" s="2870" t="str">
        <f t="shared" si="8"/>
        <v>3F</v>
      </c>
      <c r="H107" s="2870">
        <f t="shared" si="8"/>
        <v>11475</v>
      </c>
      <c r="I107" s="2870">
        <v>0.6</v>
      </c>
      <c r="J107" s="2870">
        <f>I107*J105</f>
        <v>2.4</v>
      </c>
      <c r="K107" s="2870">
        <f t="shared" si="9"/>
        <v>0.26</v>
      </c>
    </row>
    <row r="108" spans="7:11">
      <c r="G108" s="2870" t="str">
        <f t="shared" si="8"/>
        <v>4F</v>
      </c>
      <c r="H108" s="2870">
        <f t="shared" si="8"/>
        <v>11487.66</v>
      </c>
      <c r="I108" s="2870">
        <v>0.5</v>
      </c>
      <c r="J108" s="2870">
        <f>I108*J105</f>
        <v>2</v>
      </c>
      <c r="K108" s="2870">
        <f t="shared" si="9"/>
        <v>0.26</v>
      </c>
    </row>
    <row r="109" spans="7:11">
      <c r="H109" s="2870">
        <f>SUM(H105:H108)</f>
        <v>43611.100000000006</v>
      </c>
      <c r="J109" s="1379">
        <f>J105*K105+J106*K106+J107*K107+J108*K108</f>
        <v>2.7640000000000002</v>
      </c>
      <c r="K109" s="2870"/>
    </row>
  </sheetData>
  <mergeCells count="21">
    <mergeCell ref="C29:C31"/>
    <mergeCell ref="B32:C32"/>
    <mergeCell ref="B35:B38"/>
    <mergeCell ref="E10:F10"/>
    <mergeCell ref="E11:F11"/>
    <mergeCell ref="B12:C12"/>
    <mergeCell ref="E12:F12"/>
    <mergeCell ref="I13:J13"/>
    <mergeCell ref="C14:C28"/>
    <mergeCell ref="E7:F7"/>
    <mergeCell ref="G7:H7"/>
    <mergeCell ref="E8:F8"/>
    <mergeCell ref="G8:H8"/>
    <mergeCell ref="E9:F9"/>
    <mergeCell ref="G9:H9"/>
    <mergeCell ref="B4:C4"/>
    <mergeCell ref="I4:J4"/>
    <mergeCell ref="E5:F5"/>
    <mergeCell ref="G5:H5"/>
    <mergeCell ref="E6:F6"/>
    <mergeCell ref="G6:H6"/>
  </mergeCells>
  <phoneticPr fontId="140" type="noConversion"/>
  <pageMargins left="0.7" right="0.7" top="0.75" bottom="0.75" header="0.3" footer="0.3"/>
  <ignoredErrors>
    <ignoredError sqref="G106:J108 G105:J105" unlockedFormula="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G41" sqref="G41"/>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6"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460" t="s">
        <v>1757</v>
      </c>
      <c r="B2" s="3460"/>
      <c r="C2" s="3460"/>
      <c r="D2" s="904" t="s">
        <v>1733</v>
      </c>
      <c r="E2" s="1794" t="s">
        <v>1734</v>
      </c>
      <c r="F2" s="2856"/>
      <c r="G2" s="2847"/>
      <c r="H2" s="2848"/>
      <c r="I2" s="2518" t="s">
        <v>1758</v>
      </c>
      <c r="J2" s="2856"/>
      <c r="K2" s="2856"/>
      <c r="L2" s="2856"/>
      <c r="M2" s="2856"/>
      <c r="N2" s="2858"/>
      <c r="O2" s="2856"/>
      <c r="P2" s="2856"/>
    </row>
    <row r="3" spans="1:16" ht="15.75" thickBot="1">
      <c r="A3" s="3461" t="s">
        <v>1731</v>
      </c>
      <c r="B3" s="3461"/>
      <c r="C3" s="3461"/>
      <c r="D3" s="46">
        <f>'数据-基础表'!AY6</f>
        <v>20467.919999999998</v>
      </c>
      <c r="E3" s="46">
        <f>'数据-基础表'!AZ5</f>
        <v>69898.900000000009</v>
      </c>
      <c r="F3" s="2856"/>
      <c r="G3" s="1279"/>
      <c r="H3" s="1157" t="s">
        <v>1732</v>
      </c>
      <c r="I3" s="964">
        <f>ROUND('数据-基础表'!B3/'数据-基础表'!A3,2)</f>
        <v>3.42</v>
      </c>
      <c r="J3" s="2856"/>
      <c r="K3" s="2856"/>
      <c r="L3" s="2856"/>
      <c r="M3" s="2856"/>
      <c r="N3" s="2858"/>
      <c r="O3" s="2856"/>
      <c r="P3" s="2856"/>
    </row>
    <row r="4" spans="1:16" ht="15">
      <c r="A4" s="3462"/>
      <c r="B4" s="3463"/>
      <c r="C4" s="3464"/>
      <c r="D4" s="1796" t="s">
        <v>1733</v>
      </c>
      <c r="E4" s="1797" t="s">
        <v>1734</v>
      </c>
      <c r="F4" s="2856"/>
      <c r="G4" s="2849" t="s">
        <v>1759</v>
      </c>
      <c r="H4" s="1157" t="s">
        <v>1739</v>
      </c>
      <c r="I4" s="964">
        <f>ROUND(SUMIF('数据-基础表'!I9:AS9,"地上",'数据-基础表'!I5:AS5)/'数据-基础表'!A3,2)</f>
        <v>2.5</v>
      </c>
      <c r="J4" s="2856"/>
      <c r="K4" s="2856"/>
      <c r="L4" s="2856"/>
      <c r="M4" s="2856"/>
      <c r="N4" s="2858"/>
      <c r="O4" s="2856"/>
      <c r="P4" s="2856"/>
    </row>
    <row r="5" spans="1:16">
      <c r="A5" s="47" t="s">
        <v>1735</v>
      </c>
      <c r="B5" s="3465" t="s">
        <v>1736</v>
      </c>
      <c r="C5" s="3465"/>
      <c r="D5" s="48">
        <f>ROUND($D$3*E5/$E$3,2)</f>
        <v>0</v>
      </c>
      <c r="E5" s="49">
        <f>SUMIF('数据-基础表'!$11:$11,"住宅",'数据-基础表'!$5:$5)</f>
        <v>0</v>
      </c>
      <c r="F5" s="2856"/>
      <c r="G5" s="1279"/>
      <c r="H5" s="1157" t="s">
        <v>1732</v>
      </c>
      <c r="I5" s="964">
        <f>ROUND(E31/D31,2)</f>
        <v>3.42</v>
      </c>
      <c r="J5" s="2856"/>
      <c r="K5" s="2856"/>
      <c r="L5" s="2856"/>
      <c r="M5" s="2856"/>
      <c r="N5" s="2856"/>
      <c r="O5" s="2856"/>
      <c r="P5" s="2856"/>
    </row>
    <row r="6" spans="1:16" ht="15" thickBot="1">
      <c r="A6" s="1799"/>
      <c r="B6" s="3465" t="s">
        <v>1737</v>
      </c>
      <c r="C6" s="3465"/>
      <c r="D6" s="48">
        <f>ROUND($D$3*E6/$E$3,2)</f>
        <v>20467.919999999998</v>
      </c>
      <c r="E6" s="49">
        <f>E3-E5</f>
        <v>69898.900000000009</v>
      </c>
      <c r="F6" s="2856"/>
      <c r="G6" s="2850" t="s">
        <v>1738</v>
      </c>
      <c r="H6" s="1280" t="s">
        <v>1739</v>
      </c>
      <c r="I6" s="2851">
        <f>ROUND(F31/D31,2)</f>
        <v>2.5</v>
      </c>
      <c r="J6" s="2856"/>
      <c r="K6" s="2856"/>
      <c r="L6" s="2856"/>
      <c r="M6" s="2856"/>
      <c r="N6" s="2856"/>
      <c r="O6" s="2856"/>
      <c r="P6" s="2856"/>
    </row>
    <row r="7" spans="1:16" ht="15.75" thickBot="1">
      <c r="A7" s="3457"/>
      <c r="B7" s="3458"/>
      <c r="C7" s="3459"/>
      <c r="D7" s="1796" t="s">
        <v>1733</v>
      </c>
      <c r="E7" s="1800" t="s">
        <v>1740</v>
      </c>
      <c r="F7" s="2856"/>
      <c r="G7" s="2852" t="s">
        <v>1741</v>
      </c>
      <c r="H7" s="2853"/>
      <c r="I7" s="2854"/>
      <c r="J7" s="2856"/>
      <c r="K7" s="2856"/>
      <c r="L7" s="2856"/>
      <c r="M7" s="2856"/>
      <c r="N7" s="2856"/>
      <c r="O7" s="2856"/>
      <c r="P7" s="2856"/>
    </row>
    <row r="8" spans="1:16">
      <c r="A8" s="47" t="s">
        <v>1742</v>
      </c>
      <c r="B8" s="50" t="s">
        <v>1743</v>
      </c>
      <c r="C8" s="48" t="s">
        <v>1744</v>
      </c>
      <c r="D8" s="48">
        <f t="shared" ref="D8:D15" si="0">ROUND($D$3*E8/$E$3,2)</f>
        <v>14983.63</v>
      </c>
      <c r="E8" s="51">
        <f>SUMIF('数据-基础表'!BB10:BK10,"地上",'数据-基础表'!BB5:BK5)</f>
        <v>51169.8</v>
      </c>
      <c r="F8" s="2856"/>
      <c r="G8" s="2857"/>
      <c r="H8" s="2857"/>
      <c r="I8" s="2856"/>
      <c r="J8" s="2856"/>
      <c r="K8" s="2856"/>
      <c r="L8" s="2856"/>
      <c r="M8" s="2856"/>
      <c r="N8" s="2856"/>
      <c r="O8" s="2856"/>
      <c r="P8" s="2856"/>
    </row>
    <row r="9" spans="1:16">
      <c r="A9" s="1801"/>
      <c r="B9" s="1802"/>
      <c r="C9" s="48" t="s">
        <v>1745</v>
      </c>
      <c r="D9" s="48">
        <f t="shared" si="0"/>
        <v>0</v>
      </c>
      <c r="E9" s="52">
        <v>0</v>
      </c>
      <c r="F9" s="2856"/>
      <c r="G9" s="2857"/>
      <c r="H9" s="2857"/>
      <c r="I9" s="2856"/>
      <c r="J9" s="2856"/>
      <c r="K9" s="2856"/>
      <c r="L9" s="2856"/>
      <c r="M9" s="2856"/>
      <c r="N9" s="2856"/>
      <c r="O9" s="2856"/>
      <c r="P9" s="2856"/>
    </row>
    <row r="10" spans="1:16">
      <c r="A10" s="1801"/>
      <c r="B10" s="1802"/>
      <c r="C10" s="48" t="s">
        <v>1754</v>
      </c>
      <c r="D10" s="48">
        <f t="shared" si="0"/>
        <v>5381.45</v>
      </c>
      <c r="E10" s="51">
        <f>SUMPRODUCT(('数据-基础表'!BB10:BK10="地下")*('数据-基础表'!BB11:BK11="商业")*('数据-基础表'!BB5:BK5))</f>
        <v>18377.89</v>
      </c>
      <c r="F10" s="2856"/>
      <c r="G10" s="2857"/>
      <c r="H10" s="2857"/>
      <c r="I10" s="2856"/>
      <c r="J10" s="2856"/>
      <c r="K10" s="2856"/>
      <c r="L10" s="2856"/>
      <c r="M10" s="2856"/>
      <c r="N10" s="2856"/>
      <c r="O10" s="2856"/>
      <c r="P10" s="2856"/>
    </row>
    <row r="11" spans="1:16">
      <c r="A11" s="1801"/>
      <c r="B11" s="1802"/>
      <c r="C11" s="48" t="s">
        <v>1746</v>
      </c>
      <c r="D11" s="48">
        <f t="shared" si="0"/>
        <v>0</v>
      </c>
      <c r="E11" s="51">
        <f>SUMPRODUCT(('数据-基础表'!BB10:BK10="地下")*('数据-基础表'!BB11:BK11="办公")*('数据-基础表'!BB5:BK5))+'数据-基础表'!BP5</f>
        <v>0</v>
      </c>
      <c r="F11" s="2856"/>
      <c r="G11" s="2857"/>
      <c r="H11" s="2857"/>
      <c r="I11" s="2856"/>
      <c r="J11" s="2856"/>
      <c r="K11" s="2856"/>
      <c r="L11" s="2856"/>
      <c r="M11" s="2856"/>
      <c r="N11" s="2856"/>
      <c r="O11" s="2856"/>
      <c r="P11" s="2856"/>
    </row>
    <row r="12" spans="1:16">
      <c r="A12" s="1801"/>
      <c r="B12" s="1802"/>
      <c r="C12" s="48" t="s">
        <v>1747</v>
      </c>
      <c r="D12" s="48">
        <f t="shared" si="0"/>
        <v>0</v>
      </c>
      <c r="E12" s="51">
        <f>SUMPRODUCT(('数据-基础表'!BB10:BK10="地下")*('数据-基础表'!BB11:BK11="仓储")*('数据-基础表'!BB5:BK5))</f>
        <v>0</v>
      </c>
      <c r="F12" s="2856"/>
      <c r="G12" s="2857"/>
      <c r="H12" s="2857"/>
      <c r="I12" s="2856"/>
      <c r="J12" s="2856"/>
      <c r="K12" s="2856"/>
      <c r="L12" s="2856"/>
      <c r="M12" s="2856"/>
      <c r="N12" s="2856"/>
      <c r="O12" s="2856"/>
      <c r="P12" s="2856"/>
    </row>
    <row r="13" spans="1:16">
      <c r="A13" s="1801"/>
      <c r="B13" s="1802"/>
      <c r="C13" s="48" t="s">
        <v>1748</v>
      </c>
      <c r="D13" s="48">
        <f t="shared" si="0"/>
        <v>0</v>
      </c>
      <c r="E13" s="51">
        <f>SUMPRODUCT(('数据-基础表'!BB10:BK10="地下")*('数据-基础表'!BB11:BK11="车库")*('数据-基础表'!BB5:BK5))</f>
        <v>0</v>
      </c>
      <c r="F13" s="2856"/>
      <c r="G13" s="2857"/>
      <c r="H13" s="2857"/>
      <c r="I13" s="2856"/>
      <c r="J13" s="2856"/>
      <c r="K13" s="2856"/>
      <c r="L13" s="2856"/>
      <c r="M13" s="2856"/>
      <c r="N13" s="2856"/>
      <c r="O13" s="2856"/>
      <c r="P13" s="2856"/>
    </row>
    <row r="14" spans="1:16">
      <c r="A14" s="1801"/>
      <c r="B14" s="1802"/>
      <c r="C14" s="48" t="s">
        <v>1760</v>
      </c>
      <c r="D14" s="48">
        <f t="shared" si="0"/>
        <v>102.84</v>
      </c>
      <c r="E14" s="51">
        <f>SUMPRODUCT(('数据-基础表'!BB10:BK10="地下")*('数据-基础表'!BB11:BK11="车库—商业")*('数据-基础表'!BB5:BK5))</f>
        <v>351.21</v>
      </c>
      <c r="F14" s="2856"/>
      <c r="G14" s="2857"/>
      <c r="H14" s="2857"/>
      <c r="I14" s="2856"/>
      <c r="J14" s="2856"/>
      <c r="K14" s="2856"/>
      <c r="L14" s="2856"/>
      <c r="M14" s="2856"/>
      <c r="N14" s="2856"/>
      <c r="O14" s="2856"/>
      <c r="P14" s="2856"/>
    </row>
    <row r="15" spans="1:16" ht="15" thickBot="1">
      <c r="A15" s="1801"/>
      <c r="B15" s="1802"/>
      <c r="C15" s="48" t="s">
        <v>1755</v>
      </c>
      <c r="D15" s="48">
        <f t="shared" si="0"/>
        <v>0</v>
      </c>
      <c r="E15" s="51">
        <f>SUMPRODUCT(('数据-基础表'!BB10:BK10="地下")*('数据-基础表'!BB11:BK11="车库—办公")*('数据-基础表'!BB5:BK5))</f>
        <v>0</v>
      </c>
      <c r="F15" s="2856"/>
      <c r="G15" s="2857"/>
      <c r="H15" s="2857"/>
      <c r="I15" s="2856"/>
      <c r="J15" s="2856"/>
      <c r="K15" s="2856"/>
      <c r="L15" s="2856"/>
      <c r="M15" s="2856"/>
      <c r="N15" s="2856"/>
      <c r="O15" s="2856"/>
      <c r="P15" s="2856"/>
    </row>
    <row r="16" spans="1:16" ht="15.75" thickBot="1">
      <c r="A16" s="1799"/>
      <c r="B16" s="1802"/>
      <c r="C16" s="50" t="s">
        <v>1749</v>
      </c>
      <c r="D16" s="50">
        <f>SUM(D8:D15)</f>
        <v>20467.919999999998</v>
      </c>
      <c r="E16" s="53">
        <f>SUM(E8:E15)</f>
        <v>69898.900000000009</v>
      </c>
      <c r="F16" s="2856"/>
      <c r="G16" s="2857"/>
      <c r="H16" s="1803" t="s">
        <v>1761</v>
      </c>
      <c r="I16" s="1804"/>
      <c r="J16" s="1273"/>
      <c r="K16" s="3454" t="s">
        <v>1761</v>
      </c>
      <c r="L16" s="3455"/>
      <c r="M16" s="3455"/>
      <c r="N16" s="3455"/>
      <c r="O16" s="3455"/>
      <c r="P16" s="3456"/>
    </row>
    <row r="17" spans="1:19" ht="15">
      <c r="A17" s="1805" t="s">
        <v>1762</v>
      </c>
      <c r="B17" s="1806" t="s">
        <v>1763</v>
      </c>
      <c r="C17" s="1807" t="s">
        <v>1764</v>
      </c>
      <c r="D17" s="1808" t="s">
        <v>1752</v>
      </c>
      <c r="E17" s="1809" t="s">
        <v>1753</v>
      </c>
      <c r="F17" s="1810"/>
      <c r="G17" s="1811"/>
      <c r="H17" s="1812" t="s">
        <v>1765</v>
      </c>
      <c r="I17" s="1813" t="s">
        <v>1750</v>
      </c>
      <c r="J17" s="1273"/>
      <c r="K17" s="3451" t="s">
        <v>1766</v>
      </c>
      <c r="L17" s="3452"/>
      <c r="M17" s="3453"/>
      <c r="N17" s="3451" t="s">
        <v>1767</v>
      </c>
      <c r="O17" s="3452"/>
      <c r="P17" s="3453"/>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48" t="s">
        <v>3197</v>
      </c>
      <c r="D19" s="48">
        <f>ROUND($D$3*E19/$E$3,2)</f>
        <v>18254.57</v>
      </c>
      <c r="E19" s="56">
        <f t="shared" ref="E19:E26" si="1">SUM(F19:G19)</f>
        <v>62340.200000000004</v>
      </c>
      <c r="F19" s="2996">
        <f>'数据-基础表'!K13</f>
        <v>43611.100000000006</v>
      </c>
      <c r="G19" s="2997">
        <f>'数据-基础表'!M13+'数据-基础表'!O13</f>
        <v>18729.099999999999</v>
      </c>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18254.57</v>
      </c>
      <c r="S19" s="1158">
        <f t="shared" si="5"/>
        <v>62340.200000000004</v>
      </c>
    </row>
    <row r="20" spans="1:19">
      <c r="A20" s="1826"/>
      <c r="B20" s="50" t="s">
        <v>1779</v>
      </c>
      <c r="C20" s="3248" t="s">
        <v>3198</v>
      </c>
      <c r="D20" s="48">
        <f t="shared" ref="D20:D26" si="6">ROUND($D$3*E20/$E$3,2)</f>
        <v>2213.35</v>
      </c>
      <c r="E20" s="56">
        <f t="shared" si="1"/>
        <v>7558.7</v>
      </c>
      <c r="F20" s="2996">
        <f>'数据-基础表'!I13</f>
        <v>7558.7</v>
      </c>
      <c r="G20" s="2997"/>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2213.35</v>
      </c>
      <c r="S20" s="1158">
        <f t="shared" si="5"/>
        <v>7558.7</v>
      </c>
    </row>
    <row r="21" spans="1:19">
      <c r="A21" s="1826"/>
      <c r="B21" s="50" t="s">
        <v>1779</v>
      </c>
      <c r="C21" s="1823"/>
      <c r="D21" s="48">
        <f t="shared" si="6"/>
        <v>0</v>
      </c>
      <c r="E21" s="56">
        <f t="shared" si="1"/>
        <v>0</v>
      </c>
      <c r="F21" s="2996"/>
      <c r="G21" s="2997"/>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1779</v>
      </c>
      <c r="C22" s="58"/>
      <c r="D22" s="48">
        <f t="shared" si="6"/>
        <v>0</v>
      </c>
      <c r="E22" s="56">
        <f t="shared" si="1"/>
        <v>0</v>
      </c>
      <c r="F22" s="2998"/>
      <c r="G22" s="2999"/>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1779</v>
      </c>
      <c r="C23" s="58"/>
      <c r="D23" s="48">
        <f>ROUND($D$3*E23/$E$3,2)</f>
        <v>0</v>
      </c>
      <c r="E23" s="56">
        <f>SUM(F23:G23)</f>
        <v>0</v>
      </c>
      <c r="F23" s="2998"/>
      <c r="G23" s="2999"/>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1779</v>
      </c>
      <c r="C24" s="58"/>
      <c r="D24" s="48">
        <f>ROUND($D$3*E24/$E$3,2)</f>
        <v>0</v>
      </c>
      <c r="E24" s="56">
        <f>SUM(F24:G24)</f>
        <v>0</v>
      </c>
      <c r="F24" s="2998"/>
      <c r="G24" s="2999"/>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1779</v>
      </c>
      <c r="C25" s="58"/>
      <c r="D25" s="48">
        <f t="shared" si="6"/>
        <v>0</v>
      </c>
      <c r="E25" s="56">
        <f t="shared" si="1"/>
        <v>0</v>
      </c>
      <c r="F25" s="2998"/>
      <c r="G25" s="2999"/>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1779</v>
      </c>
      <c r="C26" s="59"/>
      <c r="D26" s="48">
        <f t="shared" si="6"/>
        <v>0</v>
      </c>
      <c r="E26" s="56">
        <f t="shared" si="1"/>
        <v>0</v>
      </c>
      <c r="F26" s="2998"/>
      <c r="G26" s="2999"/>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1780</v>
      </c>
      <c r="D27" s="1274">
        <f>SUM(D19:D26)</f>
        <v>20467.919999999998</v>
      </c>
      <c r="E27" s="1275">
        <f>IF(SUM(E19:E26)='数据-基础表'!BA5,SUM(E19:E26),IF(F27="地上面积有误","面积有误","地下面积有误"))</f>
        <v>69898.900000000009</v>
      </c>
      <c r="F27" s="1274">
        <f>IF(SUM(F19:F26)=E8,SUM(F19:F26),"地上面积有误")</f>
        <v>51169.8</v>
      </c>
      <c r="G27" s="1276">
        <f>SUM(G19:G26)</f>
        <v>18729.099999999999</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20467.919999999998</v>
      </c>
      <c r="S27" s="1157">
        <f>IF(SUM(S19:S26)=$E$3,SUM(S19:S26),SUM(S19:S26)&amp;"误差"&amp;ROUND(SUM(S19:S26)-E3,2))</f>
        <v>69898.900000000009</v>
      </c>
    </row>
    <row r="28" spans="1:19">
      <c r="A28" s="1826"/>
      <c r="B28" s="50" t="s">
        <v>1781</v>
      </c>
      <c r="C28" s="1169" t="s">
        <v>1782</v>
      </c>
      <c r="D28" s="48">
        <f>ROUND($D$3*E28/$E$3,2)</f>
        <v>0</v>
      </c>
      <c r="E28" s="56">
        <f>SUM(F28:G28)</f>
        <v>0</v>
      </c>
      <c r="F28" s="60">
        <f>'数据-基础表'!BQ5+'数据-基础表'!BS5</f>
        <v>0</v>
      </c>
      <c r="G28" s="61">
        <f>'数据-基础表'!BR5+'数据-基础表'!BT5</f>
        <v>0</v>
      </c>
      <c r="H28" s="2856"/>
      <c r="I28" s="2856"/>
      <c r="J28" s="2856"/>
      <c r="K28" s="2856"/>
      <c r="L28" s="2856"/>
      <c r="M28" s="2856"/>
      <c r="N28" s="2856"/>
      <c r="O28" s="2856"/>
      <c r="P28" s="2856"/>
    </row>
    <row r="29" spans="1:19">
      <c r="A29" s="1826"/>
      <c r="B29" s="50" t="s">
        <v>1781</v>
      </c>
      <c r="C29" s="1830" t="s">
        <v>1783</v>
      </c>
      <c r="D29" s="48">
        <f>ROUND($D$3*E29/$E$3,2)</f>
        <v>0</v>
      </c>
      <c r="E29" s="56">
        <f>SUM(F29:G29)</f>
        <v>0</v>
      </c>
      <c r="F29" s="62">
        <f>'数据-基础表'!BM5+'数据-基础表'!BO5</f>
        <v>0</v>
      </c>
      <c r="G29" s="63">
        <f>'数据-基础表'!BN5+'数据-基础表'!BP5</f>
        <v>0</v>
      </c>
      <c r="H29" s="2856"/>
      <c r="I29" s="2856"/>
      <c r="J29" s="2856"/>
      <c r="K29" s="2856"/>
      <c r="L29" s="2856"/>
      <c r="M29" s="2856"/>
      <c r="N29" s="2856"/>
      <c r="O29" s="2856"/>
      <c r="P29" s="2856"/>
    </row>
    <row r="30" spans="1:19" ht="15">
      <c r="A30" s="1826"/>
      <c r="B30" s="50"/>
      <c r="C30" s="1831" t="s">
        <v>1780</v>
      </c>
      <c r="D30" s="1274">
        <f>SUM(D28:D29)</f>
        <v>0</v>
      </c>
      <c r="E30" s="1274">
        <f>SUM(E28:E29)</f>
        <v>0</v>
      </c>
      <c r="F30" s="1274">
        <f>SUM(F28:F29)</f>
        <v>0</v>
      </c>
      <c r="G30" s="1276">
        <f>SUM(G28:G29)</f>
        <v>0</v>
      </c>
      <c r="H30" s="2856"/>
      <c r="I30" s="2856"/>
      <c r="J30" s="2856"/>
      <c r="K30" s="2856"/>
      <c r="L30" s="2856"/>
      <c r="M30" s="2856"/>
      <c r="N30" s="2856"/>
      <c r="O30" s="2856"/>
      <c r="P30" s="2856"/>
    </row>
    <row r="31" spans="1:19" ht="15.75" thickBot="1">
      <c r="A31" s="1832"/>
      <c r="B31" s="1833"/>
      <c r="C31" s="944" t="s">
        <v>1784</v>
      </c>
      <c r="D31" s="685">
        <f>D27+D30</f>
        <v>20467.919999999998</v>
      </c>
      <c r="E31" s="685">
        <f>E27+E30</f>
        <v>69898.900000000009</v>
      </c>
      <c r="F31" s="686">
        <f>F27+F30</f>
        <v>51169.8</v>
      </c>
      <c r="G31" s="687">
        <f>G27+G30</f>
        <v>18729.099999999999</v>
      </c>
      <c r="H31" s="2856"/>
      <c r="I31" s="2856"/>
      <c r="J31" s="2856"/>
      <c r="K31" s="2856"/>
      <c r="L31" s="2856"/>
      <c r="M31" s="2856"/>
      <c r="N31" s="2856"/>
      <c r="O31" s="2856"/>
      <c r="P31" s="2856"/>
    </row>
    <row r="32" spans="1:19">
      <c r="A32" s="1798"/>
      <c r="B32" s="1798" t="s">
        <v>1785</v>
      </c>
      <c r="C32" s="1798"/>
      <c r="D32" s="1798"/>
      <c r="E32" s="1184">
        <f>SUMIF(C19:C26,"*住宅*",E19:E26)</f>
        <v>0</v>
      </c>
      <c r="F32" s="1798"/>
      <c r="G32" s="1798"/>
      <c r="H32" s="2856"/>
      <c r="I32" s="2856"/>
      <c r="J32" s="2856"/>
      <c r="K32" s="2856"/>
      <c r="L32" s="2856"/>
      <c r="M32" s="2856"/>
      <c r="N32" s="2856"/>
      <c r="O32" s="2856"/>
      <c r="P32" s="2856"/>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S6" activePane="bottomRight" state="frozen"/>
      <selection activeCell="C50" sqref="C50"/>
      <selection pane="topRight" activeCell="C50" sqref="C50"/>
      <selection pane="bottomLeft" activeCell="C50" sqref="C50"/>
      <selection pane="bottomRight" activeCell="W29" sqref="W29"/>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9"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70"/>
      <c r="AO1" s="2870"/>
      <c r="AP1" s="2870"/>
      <c r="AQ1" s="2870"/>
      <c r="AR1" s="2870"/>
    </row>
    <row r="2" spans="1:67" s="1714" customFormat="1" ht="15.75" thickBot="1">
      <c r="A2" s="1839" t="s">
        <v>1787</v>
      </c>
      <c r="B2" s="1176">
        <f>项目基本情况!D3</f>
        <v>44543</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2"/>
      <c r="AO2" s="2872"/>
      <c r="AP2" s="2872"/>
      <c r="AQ2" s="2872"/>
      <c r="AR2" s="2872"/>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2"/>
      <c r="AO3" s="2872"/>
      <c r="AP3" s="2872"/>
      <c r="AQ3" s="2872"/>
      <c r="AR3" s="2872"/>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5"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72"/>
      <c r="AO4" s="2872"/>
      <c r="AP4" s="2872"/>
      <c r="AQ4" s="2872"/>
      <c r="AR4" s="2872"/>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3209</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商业及车位</v>
      </c>
      <c r="B6" s="1869" t="str">
        <f>IF(A6=0,"","经营性")</f>
        <v>经营性</v>
      </c>
      <c r="C6" s="1870" t="s">
        <v>1283</v>
      </c>
      <c r="D6" s="967">
        <f>SUMIF(项目基本情况!D$12:I$12,C6,项目基本情况!D$14:I$14)</f>
        <v>40</v>
      </c>
      <c r="E6" s="966">
        <f>IF(B6="","",SUMIF(项目基本情况!D$12:I$12,C6,项目基本情况!D$13:I$13))</f>
        <v>55509</v>
      </c>
      <c r="F6" s="68">
        <f>SUMIF(项目基本情况!D$12:I$12,C6,项目基本情况!D$15:I$15)</f>
        <v>30.04</v>
      </c>
      <c r="G6" s="69">
        <f>IF(ISERROR(ROUND(POWER(1+H6,D6-F6)*(POWER(1+H6,F6)-1)/(POWER(1+H6,D6)-1),3)),0,ROUND(POWER(1+H6,D6-F6)*(POWER(1+H6,F6)-1)/(POWER(1+H6,D6)-1),3))</f>
        <v>0.90600000000000003</v>
      </c>
      <c r="H6" s="741">
        <v>5.5E-2</v>
      </c>
      <c r="I6" s="741">
        <v>0.06</v>
      </c>
      <c r="J6" s="70">
        <v>7.4999999999999997E-2</v>
      </c>
      <c r="K6" s="1161">
        <f>SUMIF('数据-汇总表'!C$19:C$33,A6,'数据-汇总表'!E$19:E$33)</f>
        <v>62340.200000000004</v>
      </c>
      <c r="L6" s="742">
        <v>4000</v>
      </c>
      <c r="M6" s="71">
        <f t="shared" ref="M6:M14" si="0">ROUND(K6*L6/10000,0)</f>
        <v>24936</v>
      </c>
      <c r="N6" s="740">
        <f>ROUND(1-(2021-2017)/60,2)</f>
        <v>0.93</v>
      </c>
      <c r="O6" s="71" t="str">
        <f>IF($N$5="成新度","——",ROUND(M6*N6,0))</f>
        <v>——</v>
      </c>
      <c r="P6" s="72" t="str">
        <f>IF($N$5="成新度","——",M6-O6)</f>
        <v>——</v>
      </c>
      <c r="Q6" s="743">
        <v>0.2</v>
      </c>
      <c r="R6" s="73">
        <f ca="1">SUMIF('数据-汇总表'!C$19:C$33,A6,'数据-汇总表'!R$19:R$27)</f>
        <v>18254.57</v>
      </c>
      <c r="S6" s="54">
        <f>IF('数据-汇总表'!$I$17="按面积比例",SUMIF('数据-汇总表'!C$19:C$33,A6,'数据-汇总表'!K$19:K$33),SUMIF('数据-汇总表'!C$19:C$33,A6,'数据-汇总表'!N$19:N$33))</f>
        <v>0</v>
      </c>
      <c r="T6" s="1306">
        <f>ROUND($L$14*S6/10000,0)</f>
        <v>0</v>
      </c>
      <c r="U6" s="74">
        <v>44000000</v>
      </c>
      <c r="V6" s="75">
        <v>0.02</v>
      </c>
      <c r="W6" s="75">
        <v>0.1</v>
      </c>
      <c r="X6" s="1171"/>
      <c r="Y6" s="76">
        <f>N6</f>
        <v>0.93</v>
      </c>
      <c r="Z6" s="77"/>
      <c r="AA6" s="70"/>
      <c r="AB6" s="70"/>
      <c r="AC6" s="1171"/>
      <c r="AD6" s="78"/>
      <c r="AE6" s="1172">
        <f ca="1">IF(AN6="",0,SUMIF(INDIRECT("'"&amp;AN6&amp;"'"&amp;"!E:E"),$AE$5,INDIRECT("'"&amp;AN6&amp;"'"&amp;"!F:F")))</f>
        <v>30.04</v>
      </c>
      <c r="AF6" s="1502"/>
      <c r="AG6" s="143">
        <f>IF(AF6="",0,AE6-AF6)</f>
        <v>0</v>
      </c>
      <c r="AH6" s="79">
        <v>1</v>
      </c>
      <c r="AI6" s="81">
        <v>1</v>
      </c>
      <c r="AJ6" s="82"/>
      <c r="AK6" s="83">
        <v>1.4999999999999999E-2</v>
      </c>
      <c r="AL6" s="84">
        <v>1.5E-3</v>
      </c>
      <c r="AM6" s="85">
        <v>0.02</v>
      </c>
      <c r="AN6" s="1871" t="s">
        <v>3219</v>
      </c>
      <c r="AO6" s="55">
        <f ca="1">SUMIF(INDIRECT("'"&amp;AN6&amp;"'"&amp;"!A:A"),"总价",INDIRECT("'"&amp;AN6&amp;"'"&amp;"!B:B"))</f>
        <v>44446</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t="str">
        <f>'数据-汇总表'!C20</f>
        <v>办公</v>
      </c>
      <c r="B7" s="1869" t="str">
        <f t="shared" ref="B7:B13" si="1">IF(A7=0,"","经营性")</f>
        <v>经营性</v>
      </c>
      <c r="C7" s="1870" t="s">
        <v>27</v>
      </c>
      <c r="D7" s="967">
        <f>SUMIF(项目基本情况!D$12:I$12,C7,项目基本情况!D$14:I$14)</f>
        <v>40</v>
      </c>
      <c r="E7" s="966">
        <f>IF(B7="","",SUMIF(项目基本情况!D$12:I$12,C7,项目基本情况!D$13:I$13))</f>
        <v>55509</v>
      </c>
      <c r="F7" s="68">
        <f>SUMIF(项目基本情况!D$12:I$12,C7,项目基本情况!D$15:I$15)</f>
        <v>30.04</v>
      </c>
      <c r="G7" s="69">
        <f t="shared" ref="G7:G11" si="2">IF(ISERROR(ROUND(POWER(1+H7,D7-F7)*(POWER(1+H7,F7)-1)/(POWER(1+H7,D7)-1),3)),0,ROUND(POWER(1+H7,D7-F7)*(POWER(1+H7,F7)-1)/(POWER(1+H7,D7)-1),3))</f>
        <v>0.89600000000000002</v>
      </c>
      <c r="H7" s="741">
        <v>0.05</v>
      </c>
      <c r="I7" s="741">
        <v>5.5E-2</v>
      </c>
      <c r="J7" s="70">
        <v>7.0000000000000007E-2</v>
      </c>
      <c r="K7" s="1161">
        <f>SUMIF('数据-汇总表'!C$19:C$33,A7,'数据-汇总表'!E$19:E$33)</f>
        <v>7558.7</v>
      </c>
      <c r="L7" s="742">
        <f>L6</f>
        <v>4000</v>
      </c>
      <c r="M7" s="71">
        <f t="shared" si="0"/>
        <v>3023</v>
      </c>
      <c r="N7" s="740">
        <f>N6</f>
        <v>0.93</v>
      </c>
      <c r="O7" s="71" t="str">
        <f t="shared" ref="O7:O14" si="3">IF($N$5="成新度","——",ROUND(M7*N7,0))</f>
        <v>——</v>
      </c>
      <c r="P7" s="72" t="str">
        <f t="shared" ref="P7:P14" si="4">IF($N$5="成新度","——",M7-O7)</f>
        <v>——</v>
      </c>
      <c r="Q7" s="743">
        <v>0.2</v>
      </c>
      <c r="R7" s="73">
        <f ca="1">SUMIF('数据-汇总表'!C$19:C$33,A7,'数据-汇总表'!R$19:R$27)</f>
        <v>2213.35</v>
      </c>
      <c r="S7" s="54">
        <f>IF('数据-汇总表'!$I$17="按面积比例",SUMIF('数据-汇总表'!C$19:C$33,A7,'数据-汇总表'!K$19:K$33),SUMIF('数据-汇总表'!C$19:C$33,A7,'数据-汇总表'!N$19:N$33))</f>
        <v>0</v>
      </c>
      <c r="T7" s="1306">
        <f t="shared" ref="T7:T13" si="5">ROUND($L$14*S7/10000,0)</f>
        <v>0</v>
      </c>
      <c r="U7" s="3344">
        <v>1.2</v>
      </c>
      <c r="V7" s="75">
        <v>0.02</v>
      </c>
      <c r="W7" s="75">
        <v>0.1</v>
      </c>
      <c r="X7" s="1171"/>
      <c r="Y7" s="76">
        <f>N6</f>
        <v>0.93</v>
      </c>
      <c r="Z7" s="77"/>
      <c r="AA7" s="70"/>
      <c r="AB7" s="70"/>
      <c r="AC7" s="1171"/>
      <c r="AD7" s="78"/>
      <c r="AE7" s="1172">
        <f t="shared" ref="AE7:AE13" ca="1" si="6">IF(AN7="",0,SUMIF(INDIRECT("'"&amp;AN7&amp;"'"&amp;"!E:E"),$AE$5,INDIRECT("'"&amp;AN7&amp;"'"&amp;"!F:F")))</f>
        <v>30.04</v>
      </c>
      <c r="AF7" s="1502"/>
      <c r="AG7" s="143">
        <f t="shared" ref="AG7:AG13" si="7">IF(AF7="",0,AE7-AF7)</f>
        <v>0</v>
      </c>
      <c r="AH7" s="79"/>
      <c r="AI7" s="81">
        <v>365</v>
      </c>
      <c r="AJ7" s="82"/>
      <c r="AK7" s="83">
        <v>1.4999999999999999E-2</v>
      </c>
      <c r="AL7" s="84">
        <v>1.5E-3</v>
      </c>
      <c r="AM7" s="85">
        <v>0.02</v>
      </c>
      <c r="AN7" s="1871" t="s">
        <v>3207</v>
      </c>
      <c r="AO7" s="55">
        <f t="shared" ref="AO7:AO13" ca="1" si="8">SUMIF(INDIRECT("'"&amp;AN7&amp;"'"&amp;"!A:A"),"总价",INDIRECT("'"&amp;AN7&amp;"'"&amp;"!B:B"))</f>
        <v>3021</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70"/>
      <c r="AO14" s="2872"/>
      <c r="AP14" s="2872"/>
      <c r="AQ14" s="2872"/>
      <c r="AR14" s="2872"/>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70"/>
      <c r="AO15" s="2872"/>
      <c r="AP15" s="2872"/>
      <c r="AQ15" s="2872"/>
      <c r="AR15" s="2872"/>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0.90500000000000003</v>
      </c>
      <c r="H16" s="95">
        <f>ROUND(SUMPRODUCT(H6:H13,K6:K13)/SUMPRODUCT((H6:H13&gt;0)*(K6:K13)),3)</f>
        <v>5.3999999999999999E-2</v>
      </c>
      <c r="I16" s="96"/>
      <c r="J16" s="96"/>
      <c r="K16" s="97">
        <f>SUM(K6:K15)</f>
        <v>69898.900000000009</v>
      </c>
      <c r="L16" s="98">
        <f>ROUND(M16*10000/SUM(K6:K14),0)</f>
        <v>4000</v>
      </c>
      <c r="M16" s="98">
        <f>SUM(M6:M14)</f>
        <v>27959</v>
      </c>
      <c r="N16" s="99">
        <f>ROUND(SUMPRODUCT(M6:M14,N6:N14)/M16,3)</f>
        <v>0.93</v>
      </c>
      <c r="O16" s="98">
        <f>SUM(O6:O14)</f>
        <v>0</v>
      </c>
      <c r="P16" s="98">
        <f>SUM(P6:P14)</f>
        <v>0</v>
      </c>
      <c r="Q16" s="100">
        <f>ROUND(SUMPRODUCT(Q6:Q13,K6:K13)/SUMPRODUCT((Q6:Q13&gt;0)*(K6:K13)),2)</f>
        <v>0.2</v>
      </c>
      <c r="R16" s="1165">
        <f ca="1">SUM(R6:R13)</f>
        <v>20467.919999999998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0"/>
      <c r="AO16" s="2872"/>
      <c r="AP16" s="2872"/>
      <c r="AQ16" s="2872"/>
      <c r="AR16" s="2872"/>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1"/>
      <c r="C17" s="2870"/>
      <c r="D17" s="2874"/>
      <c r="E17" s="2874"/>
      <c r="F17" s="2870"/>
      <c r="G17" s="2870"/>
      <c r="H17" s="2870"/>
      <c r="I17" s="2870"/>
      <c r="J17" s="2870"/>
      <c r="K17" s="2871"/>
      <c r="L17" s="2871"/>
      <c r="M17" s="2870"/>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c r="AL17" s="2870"/>
      <c r="AM17" s="2870"/>
      <c r="AN17" s="2870"/>
      <c r="AO17" s="2870"/>
      <c r="AP17" s="2870"/>
      <c r="AQ17" s="2870"/>
      <c r="AR17" s="2870"/>
    </row>
    <row r="18" spans="1:67" ht="15" thickBot="1">
      <c r="A18" s="64" t="s">
        <v>1836</v>
      </c>
      <c r="B18" s="2884"/>
      <c r="C18" s="2872"/>
      <c r="D18" s="2875"/>
      <c r="E18" s="2872"/>
      <c r="F18" s="2872"/>
      <c r="G18" s="2872"/>
      <c r="H18" s="2872"/>
      <c r="I18" s="2872"/>
      <c r="J18" s="2872"/>
      <c r="K18" s="2871"/>
      <c r="L18" s="2871"/>
      <c r="M18" s="2870"/>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c r="AL18" s="2870"/>
      <c r="AM18" s="2870"/>
      <c r="AN18" s="2870"/>
      <c r="AO18" s="2870"/>
      <c r="AP18" s="2870"/>
      <c r="AQ18" s="2870"/>
      <c r="AR18" s="2870"/>
    </row>
    <row r="19" spans="1:67" ht="14.25">
      <c r="A19" s="1878" t="s">
        <v>1837</v>
      </c>
      <c r="B19" s="108">
        <v>0</v>
      </c>
      <c r="C19" s="3000" t="s">
        <v>2992</v>
      </c>
      <c r="D19" s="2875"/>
      <c r="E19" s="2872"/>
      <c r="F19" s="2872"/>
      <c r="G19" s="2872"/>
      <c r="H19" s="2872"/>
      <c r="I19" s="2872"/>
      <c r="J19" s="2872"/>
      <c r="K19" s="2871"/>
      <c r="L19" s="2871"/>
      <c r="M19" s="2870"/>
      <c r="N19" s="2870"/>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row>
    <row r="20" spans="1:67" ht="14.25">
      <c r="A20" s="1879" t="s">
        <v>1838</v>
      </c>
      <c r="B20" s="109">
        <v>2</v>
      </c>
      <c r="C20" s="3001" t="s">
        <v>2990</v>
      </c>
      <c r="D20" s="2875"/>
      <c r="E20" s="2872"/>
      <c r="F20" s="2872"/>
      <c r="G20" s="2872"/>
      <c r="H20" s="2872"/>
      <c r="I20" s="2872"/>
      <c r="J20" s="2872"/>
      <c r="K20" s="2871"/>
      <c r="L20" s="2871"/>
      <c r="M20" s="2870"/>
      <c r="N20" s="2870"/>
      <c r="O20" s="2870"/>
      <c r="P20" s="2870"/>
      <c r="Q20" s="2870"/>
      <c r="R20" s="3249" t="s">
        <v>3214</v>
      </c>
      <c r="S20" s="3249" t="s">
        <v>3215</v>
      </c>
      <c r="T20" s="3249" t="s">
        <v>3216</v>
      </c>
      <c r="U20" s="3249" t="s">
        <v>3217</v>
      </c>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row>
    <row r="21" spans="1:67" ht="14.25">
      <c r="A21" s="1880" t="s">
        <v>1839</v>
      </c>
      <c r="B21" s="109">
        <v>2</v>
      </c>
      <c r="C21" s="2872"/>
      <c r="D21" s="2875"/>
      <c r="E21" s="2872"/>
      <c r="F21" s="2872"/>
      <c r="G21" s="2872"/>
      <c r="H21" s="2872"/>
      <c r="I21" s="2872"/>
      <c r="J21" s="2872"/>
      <c r="K21" s="2871"/>
      <c r="L21" s="2871"/>
      <c r="M21" s="2870"/>
      <c r="N21" s="2870"/>
      <c r="O21" s="2870"/>
      <c r="P21" s="2870"/>
      <c r="Q21" s="2870" t="str">
        <f>清单!I16</f>
        <v>B1F</v>
      </c>
      <c r="R21" s="2870">
        <f>清单!J16</f>
        <v>18377.89</v>
      </c>
      <c r="S21" s="2870">
        <v>0.5</v>
      </c>
      <c r="T21" s="2870">
        <f>S21*T22</f>
        <v>2</v>
      </c>
      <c r="U21" s="2870">
        <f>ROUND(R21/$R$26,3)</f>
        <v>0.29599999999999999</v>
      </c>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row>
    <row r="22" spans="1:67" ht="14.25">
      <c r="A22" s="1879" t="s">
        <v>1840</v>
      </c>
      <c r="B22" s="110">
        <f>B19+B20</f>
        <v>2</v>
      </c>
      <c r="C22" s="2872"/>
      <c r="D22" s="2875"/>
      <c r="E22" s="2872"/>
      <c r="F22" s="2872"/>
      <c r="G22" s="2872"/>
      <c r="H22" s="2872"/>
      <c r="I22" s="2872"/>
      <c r="J22" s="2872"/>
      <c r="K22" s="2871"/>
      <c r="L22" s="2871"/>
      <c r="M22" s="2870"/>
      <c r="N22" s="2870"/>
      <c r="O22" s="2870"/>
      <c r="P22" s="2870"/>
      <c r="Q22" s="2870" t="str">
        <f>清单!I17</f>
        <v>1F</v>
      </c>
      <c r="R22" s="2870">
        <f>清单!J17</f>
        <v>9953.19</v>
      </c>
      <c r="S22" s="2870">
        <v>1</v>
      </c>
      <c r="T22" s="2870">
        <v>4</v>
      </c>
      <c r="U22" s="2870">
        <f t="shared" ref="U22:U25" si="12">ROUND(R22/$R$26,3)</f>
        <v>0.161</v>
      </c>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row>
    <row r="23" spans="1:67" ht="14.25">
      <c r="A23" s="1880" t="s">
        <v>1841</v>
      </c>
      <c r="B23" s="110">
        <f>B19+B21</f>
        <v>2</v>
      </c>
      <c r="C23" s="2872"/>
      <c r="D23" s="2875"/>
      <c r="E23" s="2872"/>
      <c r="F23" s="2872"/>
      <c r="G23" s="2872"/>
      <c r="H23" s="2872"/>
      <c r="I23" s="2872"/>
      <c r="J23" s="2872"/>
      <c r="K23" s="2871"/>
      <c r="L23" s="2871"/>
      <c r="M23" s="2870"/>
      <c r="N23" s="2870"/>
      <c r="O23" s="2870"/>
      <c r="P23" s="2870"/>
      <c r="Q23" s="2870" t="str">
        <f>清单!I18</f>
        <v>2F</v>
      </c>
      <c r="R23" s="2870">
        <f>清单!J18</f>
        <v>10695.25</v>
      </c>
      <c r="S23" s="2870">
        <v>0.7</v>
      </c>
      <c r="T23" s="2870">
        <f>S23*T22</f>
        <v>2.8</v>
      </c>
      <c r="U23" s="2870">
        <f t="shared" si="12"/>
        <v>0.17299999999999999</v>
      </c>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row>
    <row r="24" spans="1:67" ht="15" thickBot="1">
      <c r="A24" s="1881" t="s">
        <v>1842</v>
      </c>
      <c r="B24" s="111">
        <f>B20-B21</f>
        <v>0</v>
      </c>
      <c r="C24" s="2872"/>
      <c r="D24" s="2875"/>
      <c r="E24" s="2872"/>
      <c r="F24" s="2872"/>
      <c r="G24" s="2872"/>
      <c r="H24" s="2872"/>
      <c r="I24" s="2872"/>
      <c r="J24" s="2872"/>
      <c r="K24" s="2871"/>
      <c r="L24" s="2871"/>
      <c r="M24" s="2870"/>
      <c r="N24" s="2870"/>
      <c r="O24" s="2870"/>
      <c r="P24" s="2870"/>
      <c r="Q24" s="2870" t="str">
        <f>清单!I19</f>
        <v>3F</v>
      </c>
      <c r="R24" s="2870">
        <f>清单!J19</f>
        <v>11475</v>
      </c>
      <c r="S24" s="2870">
        <v>0.6</v>
      </c>
      <c r="T24" s="2870">
        <f>S24*T22</f>
        <v>2.4</v>
      </c>
      <c r="U24" s="2870">
        <f t="shared" si="12"/>
        <v>0.185</v>
      </c>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row>
    <row r="25" spans="1:67" ht="15" thickBot="1">
      <c r="A25" s="1712"/>
      <c r="B25" s="1843"/>
      <c r="C25" s="2872"/>
      <c r="D25" s="2875"/>
      <c r="E25" s="2872"/>
      <c r="F25" s="2872"/>
      <c r="G25" s="2872"/>
      <c r="H25" s="2872"/>
      <c r="I25" s="2872"/>
      <c r="J25" s="2872"/>
      <c r="K25" s="2871"/>
      <c r="L25" s="2871"/>
      <c r="M25" s="2870"/>
      <c r="N25" s="2870"/>
      <c r="O25" s="2870"/>
      <c r="P25" s="2870"/>
      <c r="Q25" s="2870" t="str">
        <f>清单!I20</f>
        <v>4F</v>
      </c>
      <c r="R25" s="2870">
        <f>清单!J20</f>
        <v>11487.66</v>
      </c>
      <c r="S25" s="2870">
        <v>0.5</v>
      </c>
      <c r="T25" s="2870">
        <f>S25*T22</f>
        <v>2</v>
      </c>
      <c r="U25" s="2870">
        <f t="shared" si="12"/>
        <v>0.185</v>
      </c>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row>
    <row r="26" spans="1:67" ht="15" thickBot="1">
      <c r="A26" s="1839" t="s">
        <v>1843</v>
      </c>
      <c r="B26" s="1882" t="s">
        <v>1844</v>
      </c>
      <c r="C26" s="2876" t="s">
        <v>1845</v>
      </c>
      <c r="D26" s="2875"/>
      <c r="E26" s="2872"/>
      <c r="F26" s="2872"/>
      <c r="G26" s="2872"/>
      <c r="H26" s="2872"/>
      <c r="I26" s="2872"/>
      <c r="J26" s="2872"/>
      <c r="K26" s="2871"/>
      <c r="L26" s="2871"/>
      <c r="M26" s="2870"/>
      <c r="N26" s="2870"/>
      <c r="O26" s="2870"/>
      <c r="P26" s="2870"/>
      <c r="Q26" s="2870"/>
      <c r="R26" s="2870">
        <f>R21+R22+R23+R24+R25</f>
        <v>61988.990000000005</v>
      </c>
      <c r="S26" s="2870"/>
      <c r="T26" s="2870">
        <f>T21*U21+T22*U22+T23*U23+T24*U24+T25*U25</f>
        <v>2.5344000000000002</v>
      </c>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row>
    <row r="27" spans="1:67" s="1884" customFormat="1" ht="27.75">
      <c r="A27" s="1883" t="s">
        <v>1846</v>
      </c>
      <c r="B27" s="112"/>
      <c r="C27" s="3002" t="s">
        <v>2994</v>
      </c>
      <c r="D27" s="2878" t="s">
        <v>3713</v>
      </c>
      <c r="E27" s="2858"/>
      <c r="F27" s="2858"/>
      <c r="G27" s="2872"/>
      <c r="H27" s="2872"/>
      <c r="I27" s="2872"/>
      <c r="J27" s="2872"/>
      <c r="K27" s="2871"/>
      <c r="L27" s="2871"/>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v>290</v>
      </c>
      <c r="C28" s="2879"/>
      <c r="D28" s="2878"/>
      <c r="E28" s="2858"/>
      <c r="F28" s="2858"/>
      <c r="G28" s="2872"/>
      <c r="H28" s="2872"/>
      <c r="I28" s="2872"/>
      <c r="J28" s="2872"/>
      <c r="K28" s="2871"/>
      <c r="L28" s="2871"/>
      <c r="M28" s="2870"/>
      <c r="N28" s="2870"/>
      <c r="O28" s="2870"/>
      <c r="P28" s="2870"/>
      <c r="Q28" s="3249" t="s">
        <v>3218</v>
      </c>
      <c r="R28" s="2870">
        <f>R26+清单!K16</f>
        <v>62340.200000000004</v>
      </c>
      <c r="S28" s="2870"/>
      <c r="T28" s="2870">
        <f>ROUND(T26*R26/R28,2)</f>
        <v>2.52</v>
      </c>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f ca="1">成本法!C10</f>
        <v>2027</v>
      </c>
      <c r="C29" s="3003" t="s">
        <v>2981</v>
      </c>
      <c r="D29" s="2878"/>
      <c r="E29" s="2858"/>
      <c r="F29" s="2858"/>
      <c r="G29" s="2872"/>
      <c r="H29" s="2872"/>
      <c r="I29" s="2872"/>
      <c r="J29" s="2872"/>
      <c r="K29" s="2871"/>
      <c r="L29" s="2871"/>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1849</v>
      </c>
      <c r="B30" s="680">
        <v>200</v>
      </c>
      <c r="C30" s="2879"/>
      <c r="D30" s="2878"/>
      <c r="E30" s="2858"/>
      <c r="F30" s="2858"/>
      <c r="G30" s="2872"/>
      <c r="H30" s="2872"/>
      <c r="I30" s="2872"/>
      <c r="J30" s="2872"/>
      <c r="K30" s="2871"/>
      <c r="L30" s="2871"/>
      <c r="M30" s="2870"/>
      <c r="N30" s="2870"/>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200</v>
      </c>
      <c r="C31" s="2877"/>
      <c r="D31" s="2878"/>
      <c r="E31" s="2858"/>
      <c r="F31" s="2858"/>
      <c r="G31" s="2872"/>
      <c r="H31" s="2872"/>
      <c r="I31" s="2872"/>
      <c r="J31" s="2872"/>
      <c r="K31" s="2871"/>
      <c r="L31" s="2871"/>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v>0</v>
      </c>
      <c r="C32" s="2879"/>
      <c r="D32" s="2875"/>
      <c r="E32" s="2872"/>
      <c r="F32" s="2872"/>
      <c r="G32" s="2872"/>
      <c r="H32" s="2872"/>
      <c r="I32" s="2872"/>
      <c r="J32" s="2872"/>
      <c r="K32" s="2871"/>
      <c r="L32" s="2871"/>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0.03</v>
      </c>
      <c r="C33" s="3004" t="s">
        <v>2982</v>
      </c>
      <c r="D33" s="2875"/>
      <c r="E33" s="2872"/>
      <c r="F33" s="2872"/>
      <c r="G33" s="2872"/>
      <c r="H33" s="2872"/>
      <c r="I33" s="2872"/>
      <c r="J33" s="2872"/>
      <c r="K33" s="2871"/>
      <c r="L33" s="2871"/>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v>0.05</v>
      </c>
      <c r="C34" s="3004" t="s">
        <v>2983</v>
      </c>
      <c r="D34" s="2883" t="s">
        <v>2991</v>
      </c>
      <c r="E34" s="2881"/>
      <c r="F34" s="2872"/>
      <c r="G34" s="2872"/>
      <c r="H34" s="2872"/>
      <c r="I34" s="2872"/>
      <c r="J34" s="2872"/>
      <c r="K34" s="2871"/>
      <c r="L34" s="2871"/>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200</v>
      </c>
      <c r="C35" s="3004" t="s">
        <v>2984</v>
      </c>
      <c r="D35" s="2878"/>
      <c r="E35" s="2858"/>
      <c r="F35" s="2858"/>
      <c r="G35" s="2872"/>
      <c r="H35" s="2872"/>
      <c r="I35" s="2872"/>
      <c r="J35" s="2872"/>
      <c r="K35" s="2871"/>
      <c r="L35" s="2871"/>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4" t="s">
        <v>2985</v>
      </c>
      <c r="D36" s="2875"/>
      <c r="E36" s="2872"/>
      <c r="F36" s="2872"/>
      <c r="G36" s="2872"/>
      <c r="H36" s="2872"/>
      <c r="I36" s="2872"/>
      <c r="J36" s="2872"/>
      <c r="K36" s="2871"/>
      <c r="L36" s="2871"/>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row>
    <row r="37" spans="1:67" ht="14.25">
      <c r="A37" s="1887" t="s">
        <v>1856</v>
      </c>
      <c r="B37" s="120">
        <v>0.02</v>
      </c>
      <c r="C37" s="3004" t="s">
        <v>2986</v>
      </c>
      <c r="D37" s="2875"/>
      <c r="E37" s="2872"/>
      <c r="F37" s="2872"/>
      <c r="G37" s="2872"/>
      <c r="H37" s="2872"/>
      <c r="I37" s="2872"/>
      <c r="J37" s="2872"/>
      <c r="K37" s="2871"/>
      <c r="L37" s="2871"/>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row>
    <row r="38" spans="1:67" ht="14.25">
      <c r="A38" s="1885" t="s">
        <v>1857</v>
      </c>
      <c r="B38" s="118">
        <v>0.02</v>
      </c>
      <c r="C38" s="3004" t="s">
        <v>2986</v>
      </c>
      <c r="D38" s="2875"/>
      <c r="E38" s="2872"/>
      <c r="F38" s="2872"/>
      <c r="G38" s="2872"/>
      <c r="H38" s="2872"/>
      <c r="I38" s="2872"/>
      <c r="J38" s="2872"/>
      <c r="K38" s="2871"/>
      <c r="L38" s="2871"/>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row>
    <row r="39" spans="1:67" ht="14.25">
      <c r="A39" s="1888" t="s">
        <v>1858</v>
      </c>
      <c r="B39" s="323">
        <f ca="1">存贷款利率!I1</f>
        <v>1.4999999999999999E-2</v>
      </c>
      <c r="C39" s="2880"/>
      <c r="D39" s="2875"/>
      <c r="E39" s="2872"/>
      <c r="F39" s="2872"/>
      <c r="G39" s="2872"/>
      <c r="H39" s="2872"/>
      <c r="I39" s="2872"/>
      <c r="J39" s="2872"/>
      <c r="K39" s="2871"/>
      <c r="L39" s="2871"/>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row>
    <row r="40" spans="1:67" ht="29.25" thickBot="1">
      <c r="A40" s="3016" t="s">
        <v>3213</v>
      </c>
      <c r="B40" s="1210">
        <f ca="1">IF(A40="利息：取LPR",存贷款利率!G1,存贷款利率!G1+C40)</f>
        <v>4.3499999999999997E-2</v>
      </c>
      <c r="C40" s="3015">
        <v>5.0000000000000001E-3</v>
      </c>
      <c r="D40" s="2870"/>
      <c r="E40" s="2875"/>
      <c r="F40" s="2872"/>
      <c r="G40" s="2872"/>
      <c r="H40" s="2872"/>
      <c r="I40" s="2872"/>
      <c r="J40" s="2872"/>
      <c r="K40" s="2871"/>
      <c r="L40" s="2871"/>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row>
    <row r="41" spans="1:67" ht="14.25">
      <c r="A41" s="1883" t="s">
        <v>1859</v>
      </c>
      <c r="B41" s="121">
        <f>B42+B43</f>
        <v>5.5000000000000007E-2</v>
      </c>
      <c r="C41" s="2877"/>
      <c r="D41" s="2870"/>
      <c r="E41" s="2875"/>
      <c r="F41" s="2872"/>
      <c r="G41" s="2872"/>
      <c r="H41" s="2872"/>
      <c r="I41" s="2872"/>
      <c r="J41" s="2872"/>
      <c r="K41" s="2871"/>
      <c r="L41" s="2871"/>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row>
    <row r="42" spans="1:67" ht="14.25">
      <c r="A42" s="1889" t="s">
        <v>1860</v>
      </c>
      <c r="B42" s="122">
        <v>0.05</v>
      </c>
      <c r="C42" s="2882">
        <f>IF(B2&lt;DATE(2016,5,1),0,B42)</f>
        <v>0.05</v>
      </c>
      <c r="D42" s="2875"/>
      <c r="E42" s="2872"/>
      <c r="F42" s="2872"/>
      <c r="G42" s="2872"/>
      <c r="H42" s="2872"/>
      <c r="I42" s="2872"/>
      <c r="J42" s="2872"/>
      <c r="K42" s="2871"/>
      <c r="L42" s="2871"/>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row>
    <row r="43" spans="1:67" ht="14.25">
      <c r="A43" s="1889" t="s">
        <v>1861</v>
      </c>
      <c r="B43" s="123">
        <f>B42*(B44+B45+B46)+B47</f>
        <v>5.000000000000001E-3</v>
      </c>
      <c r="C43" s="2877"/>
      <c r="D43" s="2875"/>
      <c r="E43" s="2872"/>
      <c r="F43" s="2872"/>
      <c r="G43" s="2872"/>
      <c r="H43" s="2872"/>
      <c r="I43" s="2872"/>
      <c r="J43" s="2872"/>
      <c r="K43" s="2871"/>
      <c r="L43" s="2871"/>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row>
    <row r="44" spans="1:67" ht="14.25">
      <c r="A44" s="1890" t="s">
        <v>1862</v>
      </c>
      <c r="B44" s="124">
        <v>0.05</v>
      </c>
      <c r="C44" s="3004" t="s">
        <v>2995</v>
      </c>
      <c r="D44" s="2875"/>
      <c r="E44" s="2872"/>
      <c r="F44" s="2872"/>
      <c r="G44" s="2872"/>
      <c r="H44" s="2872"/>
      <c r="I44" s="2872"/>
      <c r="J44" s="2872"/>
      <c r="K44" s="2871"/>
      <c r="L44" s="2871"/>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row>
    <row r="45" spans="1:67" ht="14.25">
      <c r="A45" s="1890" t="s">
        <v>1863</v>
      </c>
      <c r="B45" s="122">
        <v>0.03</v>
      </c>
      <c r="C45" s="3003" t="s">
        <v>2987</v>
      </c>
      <c r="D45" s="2875"/>
      <c r="E45" s="2872"/>
      <c r="F45" s="2872"/>
      <c r="G45" s="2872"/>
      <c r="H45" s="2872"/>
      <c r="I45" s="2872"/>
      <c r="J45" s="2872"/>
      <c r="K45" s="2871"/>
      <c r="L45" s="2871"/>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row>
    <row r="46" spans="1:67" ht="14.25">
      <c r="A46" s="1890" t="s">
        <v>1864</v>
      </c>
      <c r="B46" s="122">
        <v>0.02</v>
      </c>
      <c r="C46" s="3003" t="s">
        <v>2988</v>
      </c>
      <c r="D46" s="2875"/>
      <c r="E46" s="2872"/>
      <c r="F46" s="2872"/>
      <c r="G46" s="2872"/>
      <c r="H46" s="2872"/>
      <c r="I46" s="2872"/>
      <c r="J46" s="2872"/>
      <c r="K46" s="2871"/>
      <c r="L46" s="2871"/>
      <c r="M46" s="2870"/>
      <c r="N46" s="2870"/>
      <c r="O46" s="2870"/>
      <c r="P46" s="2870"/>
      <c r="Q46" s="2870"/>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0"/>
      <c r="AP46" s="2870"/>
      <c r="AQ46" s="2870"/>
      <c r="AR46" s="2870"/>
    </row>
    <row r="47" spans="1:67" ht="15" thickBot="1">
      <c r="A47" s="1891" t="s">
        <v>1865</v>
      </c>
      <c r="B47" s="125"/>
      <c r="C47" s="3006" t="s">
        <v>2996</v>
      </c>
      <c r="D47" s="2875"/>
      <c r="E47" s="2872"/>
      <c r="F47" s="2872"/>
      <c r="G47" s="2872"/>
      <c r="H47" s="2872"/>
      <c r="I47" s="2872"/>
      <c r="J47" s="2872"/>
      <c r="K47" s="2871"/>
      <c r="L47" s="2871"/>
      <c r="M47" s="2870"/>
      <c r="N47" s="2870"/>
      <c r="O47" s="2870"/>
      <c r="P47" s="2870"/>
      <c r="Q47" s="2870"/>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0"/>
      <c r="AP47" s="2870"/>
      <c r="AQ47" s="2870"/>
      <c r="AR47" s="2870"/>
    </row>
    <row r="48" spans="1:67" ht="14.25">
      <c r="A48" s="1892" t="s">
        <v>1866</v>
      </c>
      <c r="B48" s="126">
        <v>0.03</v>
      </c>
      <c r="C48" s="3003" t="s">
        <v>2987</v>
      </c>
      <c r="D48" s="2875"/>
      <c r="E48" s="2872"/>
      <c r="F48" s="2872"/>
      <c r="G48" s="2872"/>
      <c r="H48" s="2872"/>
      <c r="I48" s="2872"/>
      <c r="J48" s="2872"/>
      <c r="K48" s="2871"/>
      <c r="L48" s="2871"/>
      <c r="M48" s="2870"/>
      <c r="N48" s="2870"/>
      <c r="O48" s="2870"/>
      <c r="P48" s="2870"/>
      <c r="Q48" s="2870"/>
      <c r="R48" s="2870"/>
      <c r="S48" s="2870"/>
      <c r="T48" s="2870"/>
      <c r="U48" s="2870"/>
      <c r="V48" s="2870"/>
      <c r="W48" s="2870"/>
      <c r="X48" s="2870"/>
      <c r="Y48" s="2870"/>
      <c r="Z48" s="2870"/>
      <c r="AA48" s="2870"/>
      <c r="AB48" s="2870"/>
      <c r="AC48" s="2870"/>
      <c r="AD48" s="2870"/>
      <c r="AE48" s="2870"/>
      <c r="AF48" s="2870"/>
      <c r="AG48" s="2870"/>
      <c r="AH48" s="2870"/>
      <c r="AI48" s="2870"/>
      <c r="AJ48" s="2870"/>
      <c r="AK48" s="2870"/>
      <c r="AL48" s="2870"/>
      <c r="AM48" s="2870"/>
      <c r="AN48" s="2870"/>
      <c r="AO48" s="2870"/>
      <c r="AP48" s="2870"/>
      <c r="AQ48" s="2870"/>
      <c r="AR48" s="2870"/>
    </row>
    <row r="49" spans="1:44" ht="15" thickBot="1">
      <c r="A49" s="1888" t="s">
        <v>1867</v>
      </c>
      <c r="B49" s="122">
        <v>5.0000000000000001E-4</v>
      </c>
      <c r="C49" s="3003" t="s">
        <v>2989</v>
      </c>
      <c r="D49" s="2875"/>
      <c r="E49" s="2872"/>
      <c r="F49" s="2872"/>
      <c r="G49" s="2872"/>
      <c r="H49" s="2872"/>
      <c r="I49" s="2872"/>
      <c r="J49" s="2872"/>
      <c r="K49" s="2871"/>
      <c r="L49" s="2871"/>
      <c r="M49" s="2870"/>
      <c r="N49" s="2870"/>
      <c r="O49" s="2870"/>
      <c r="P49" s="2870"/>
      <c r="Q49" s="2870"/>
      <c r="R49" s="2870"/>
      <c r="S49" s="2870"/>
      <c r="T49" s="2870"/>
      <c r="U49" s="2870"/>
      <c r="V49" s="2870"/>
      <c r="W49" s="2870"/>
      <c r="X49" s="2870"/>
      <c r="Y49" s="2870"/>
      <c r="Z49" s="2870"/>
      <c r="AA49" s="2870"/>
      <c r="AB49" s="2870"/>
      <c r="AC49" s="2870"/>
      <c r="AD49" s="2870"/>
      <c r="AE49" s="2870"/>
      <c r="AF49" s="2870"/>
      <c r="AG49" s="2870"/>
      <c r="AH49" s="2870"/>
      <c r="AI49" s="2870"/>
      <c r="AJ49" s="2870"/>
      <c r="AK49" s="2870"/>
      <c r="AL49" s="2870"/>
      <c r="AM49" s="2870"/>
      <c r="AN49" s="2870"/>
      <c r="AO49" s="2870"/>
      <c r="AP49" s="2870"/>
      <c r="AQ49" s="2870"/>
      <c r="AR49" s="2870"/>
    </row>
    <row r="50" spans="1:44" ht="14.25">
      <c r="A50" s="1893" t="s">
        <v>1868</v>
      </c>
      <c r="B50" s="127">
        <v>1.2E-2</v>
      </c>
      <c r="C50" s="2858"/>
      <c r="D50" s="2875"/>
      <c r="E50" s="2872"/>
      <c r="F50" s="2872"/>
      <c r="G50" s="2872"/>
      <c r="H50" s="2872"/>
      <c r="I50" s="2872"/>
      <c r="J50" s="2872"/>
      <c r="K50" s="2871"/>
      <c r="L50" s="2871"/>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row>
    <row r="51" spans="1:44" ht="15" thickBot="1">
      <c r="A51" s="1886" t="s">
        <v>1869</v>
      </c>
      <c r="B51" s="128">
        <v>0.12</v>
      </c>
      <c r="C51" s="2858"/>
      <c r="D51" s="2875"/>
      <c r="E51" s="2872"/>
      <c r="F51" s="2872"/>
      <c r="G51" s="2872"/>
      <c r="H51" s="2872"/>
      <c r="I51" s="2872"/>
      <c r="J51" s="2872"/>
      <c r="K51" s="2871"/>
      <c r="L51" s="2871"/>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row>
    <row r="52" spans="1:44" ht="14.25">
      <c r="A52" s="1893" t="s">
        <v>1870</v>
      </c>
      <c r="B52" s="129">
        <f>SUMIF(A54:A63,B53,B54:B63)</f>
        <v>8</v>
      </c>
      <c r="C52" s="2858"/>
      <c r="D52" s="2875"/>
      <c r="E52" s="2872"/>
      <c r="F52" s="2872"/>
      <c r="G52" s="2872"/>
      <c r="H52" s="2872"/>
      <c r="I52" s="2872"/>
      <c r="J52" s="2872"/>
      <c r="K52" s="2871"/>
      <c r="L52" s="2871"/>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row>
    <row r="53" spans="1:44" ht="27">
      <c r="A53" s="1885" t="s">
        <v>1871</v>
      </c>
      <c r="B53" s="1894" t="s">
        <v>212</v>
      </c>
      <c r="C53" s="2858" t="s">
        <v>1872</v>
      </c>
      <c r="D53" s="3005" t="s">
        <v>2993</v>
      </c>
      <c r="E53" s="2872"/>
      <c r="F53" s="2872"/>
      <c r="G53" s="2872"/>
      <c r="H53" s="2872"/>
      <c r="I53" s="2872"/>
      <c r="J53" s="2872"/>
      <c r="K53" s="2871"/>
      <c r="L53" s="2871"/>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row>
    <row r="54" spans="1:44" ht="14.25">
      <c r="A54" s="1895" t="s">
        <v>1873</v>
      </c>
      <c r="B54" s="80">
        <v>8</v>
      </c>
      <c r="C54" s="2858">
        <v>30</v>
      </c>
      <c r="D54" s="2875"/>
      <c r="E54" s="2872"/>
      <c r="F54" s="2872"/>
      <c r="G54" s="2872"/>
      <c r="H54" s="2872"/>
      <c r="I54" s="2872"/>
      <c r="J54" s="2872"/>
      <c r="K54" s="2871"/>
      <c r="L54" s="2871"/>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row>
    <row r="55" spans="1:44" ht="14.25">
      <c r="A55" s="1895" t="s">
        <v>1874</v>
      </c>
      <c r="B55" s="80"/>
      <c r="C55" s="2858">
        <v>24</v>
      </c>
      <c r="D55" s="2875"/>
      <c r="E55" s="2872"/>
      <c r="F55" s="2872"/>
      <c r="G55" s="2872"/>
      <c r="H55" s="2872"/>
      <c r="I55" s="2873"/>
      <c r="J55" s="2872"/>
      <c r="K55" s="2871"/>
      <c r="L55" s="2871"/>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row>
    <row r="56" spans="1:44" ht="14.25">
      <c r="A56" s="1895" t="s">
        <v>1875</v>
      </c>
      <c r="B56" s="80"/>
      <c r="C56" s="2858">
        <v>18</v>
      </c>
      <c r="D56" s="2875"/>
      <c r="E56" s="2872"/>
      <c r="F56" s="2872"/>
      <c r="G56" s="2872"/>
      <c r="H56" s="2872"/>
      <c r="I56" s="2872"/>
      <c r="J56" s="2872"/>
      <c r="K56" s="2871"/>
      <c r="L56" s="2871"/>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row>
    <row r="57" spans="1:44" ht="14.25">
      <c r="A57" s="1895" t="s">
        <v>1876</v>
      </c>
      <c r="B57" s="80"/>
      <c r="C57" s="2858">
        <v>12</v>
      </c>
      <c r="D57" s="2875"/>
      <c r="E57" s="2872"/>
      <c r="F57" s="2872"/>
      <c r="G57" s="2872"/>
      <c r="H57" s="2872"/>
      <c r="I57" s="2872"/>
      <c r="J57" s="2872"/>
      <c r="K57" s="2871"/>
      <c r="L57" s="2871"/>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row>
    <row r="58" spans="1:44" ht="14.25">
      <c r="A58" s="1895" t="s">
        <v>1877</v>
      </c>
      <c r="B58" s="80"/>
      <c r="C58" s="2858">
        <v>3</v>
      </c>
      <c r="D58" s="2875"/>
      <c r="E58" s="2872"/>
      <c r="F58" s="2872"/>
      <c r="G58" s="2872"/>
      <c r="H58" s="2872"/>
      <c r="I58" s="2872"/>
      <c r="J58" s="2872"/>
      <c r="K58" s="2871"/>
      <c r="L58" s="2871"/>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row>
    <row r="59" spans="1:44" ht="14.25">
      <c r="A59" s="1895" t="s">
        <v>1878</v>
      </c>
      <c r="B59" s="80"/>
      <c r="C59" s="2858">
        <v>1.5</v>
      </c>
      <c r="D59" s="2875"/>
      <c r="E59" s="2872"/>
      <c r="F59" s="2872"/>
      <c r="G59" s="2872"/>
      <c r="H59" s="2872"/>
      <c r="I59" s="2872"/>
      <c r="J59" s="2872"/>
      <c r="K59" s="2871"/>
      <c r="L59" s="2871"/>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row>
    <row r="60" spans="1:44" ht="14.25">
      <c r="A60" s="1895" t="s">
        <v>1879</v>
      </c>
      <c r="B60" s="80"/>
      <c r="C60" s="2872"/>
      <c r="D60" s="2875"/>
      <c r="E60" s="2872"/>
      <c r="F60" s="2872"/>
      <c r="G60" s="2872"/>
      <c r="H60" s="2872"/>
      <c r="I60" s="2872"/>
      <c r="J60" s="2872"/>
      <c r="K60" s="2871"/>
      <c r="L60" s="2871"/>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row>
    <row r="61" spans="1:44" ht="14.25">
      <c r="A61" s="1895" t="s">
        <v>1880</v>
      </c>
      <c r="B61" s="80"/>
      <c r="C61" s="2872"/>
      <c r="D61" s="2875"/>
      <c r="E61" s="2872"/>
      <c r="F61" s="2872"/>
      <c r="G61" s="2872"/>
      <c r="H61" s="2872"/>
      <c r="I61" s="2872"/>
      <c r="J61" s="2872"/>
      <c r="K61" s="2871"/>
      <c r="L61" s="2871"/>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row>
    <row r="62" spans="1:44" ht="14.25">
      <c r="A62" s="1895" t="s">
        <v>1881</v>
      </c>
      <c r="B62" s="80"/>
      <c r="C62" s="2872"/>
      <c r="D62" s="2875"/>
      <c r="E62" s="2872"/>
      <c r="F62" s="2872"/>
      <c r="G62" s="2872"/>
      <c r="H62" s="2872"/>
      <c r="I62" s="2872"/>
      <c r="J62" s="2872"/>
      <c r="K62" s="2871"/>
      <c r="L62" s="2871"/>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row>
    <row r="63" spans="1:44" ht="15" thickBot="1">
      <c r="A63" s="1896" t="s">
        <v>1882</v>
      </c>
      <c r="B63" s="130"/>
      <c r="C63" s="2872"/>
      <c r="D63" s="2875"/>
      <c r="E63" s="2872"/>
      <c r="F63" s="2872"/>
      <c r="G63" s="2872"/>
      <c r="H63" s="2872"/>
      <c r="I63" s="2872"/>
      <c r="J63" s="2872"/>
      <c r="K63" s="2871"/>
      <c r="L63" s="2871"/>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row>
    <row r="64" spans="1:44" s="901" customFormat="1">
      <c r="A64" s="2861"/>
      <c r="B64" s="2870"/>
      <c r="C64" s="2870"/>
      <c r="D64" s="2874"/>
      <c r="E64" s="2870"/>
      <c r="F64" s="2870"/>
      <c r="G64" s="2870"/>
      <c r="H64" s="2870"/>
      <c r="I64" s="2870"/>
      <c r="J64" s="2870"/>
      <c r="K64" s="2871"/>
      <c r="L64" s="2871"/>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row>
    <row r="65" spans="1:44" s="901" customFormat="1">
      <c r="A65" s="2861"/>
      <c r="B65" s="2870"/>
      <c r="C65" s="2870"/>
      <c r="D65" s="2874"/>
      <c r="E65" s="2870"/>
      <c r="F65" s="2870"/>
      <c r="G65" s="2870"/>
      <c r="H65" s="2870"/>
      <c r="I65" s="2870"/>
      <c r="J65" s="2870"/>
      <c r="K65" s="2871"/>
      <c r="L65" s="2871"/>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row>
    <row r="66" spans="1:44" s="901" customFormat="1">
      <c r="A66" s="2861"/>
      <c r="B66" s="2870"/>
      <c r="C66" s="2870"/>
      <c r="D66" s="2874"/>
      <c r="E66" s="2870"/>
      <c r="F66" s="2870"/>
      <c r="G66" s="2870"/>
      <c r="H66" s="2870"/>
      <c r="I66" s="2870"/>
      <c r="J66" s="2870"/>
      <c r="K66" s="2871"/>
      <c r="L66" s="2871"/>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row>
    <row r="67" spans="1:44" s="901" customFormat="1">
      <c r="A67" s="2861"/>
      <c r="B67" s="2870"/>
      <c r="C67" s="2870"/>
      <c r="D67" s="2874"/>
      <c r="E67" s="2870"/>
      <c r="F67" s="2870"/>
      <c r="G67" s="2870"/>
      <c r="H67" s="2870"/>
      <c r="I67" s="2870"/>
      <c r="J67" s="2870"/>
      <c r="K67" s="2871"/>
      <c r="L67" s="2871"/>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row>
    <row r="68" spans="1:44" s="901" customFormat="1">
      <c r="A68" s="2861"/>
      <c r="B68" s="2870"/>
      <c r="C68" s="2870"/>
      <c r="D68" s="2874"/>
      <c r="E68" s="2870"/>
      <c r="F68" s="2870"/>
      <c r="G68" s="2870"/>
      <c r="H68" s="2870"/>
      <c r="I68" s="2870"/>
      <c r="J68" s="2870"/>
      <c r="K68" s="2871"/>
      <c r="L68" s="2871"/>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2" customWidth="1"/>
    <col min="2" max="2" width="24.5" style="1727" customWidth="1"/>
    <col min="3" max="3" width="24.5" style="2706" customWidth="1"/>
    <col min="4" max="4" width="2.625" style="2706" customWidth="1"/>
    <col min="5" max="5" width="5.875" style="2706" customWidth="1"/>
    <col min="6" max="6" width="27" style="1727" customWidth="1"/>
    <col min="7" max="7" width="27" style="2707" customWidth="1"/>
    <col min="8" max="8" width="11.875" style="2687" customWidth="1"/>
    <col min="9" max="9" width="16.75" style="2688" customWidth="1"/>
    <col min="10" max="10" width="2.625" style="2687" customWidth="1"/>
    <col min="11" max="11" width="11.875" style="2687" customWidth="1"/>
    <col min="12" max="12" width="16.75" style="2688" customWidth="1"/>
    <col min="13" max="13" width="2.625" style="2687" customWidth="1"/>
    <col min="14" max="14" width="11.875" style="2687" customWidth="1"/>
    <col min="15" max="15" width="16.75" style="2688" customWidth="1"/>
    <col min="16" max="16" width="2.625" style="2687" customWidth="1"/>
    <col min="17" max="17" width="11.875" style="2687" customWidth="1"/>
    <col min="18" max="18" width="16.75" style="2689" customWidth="1"/>
    <col min="19" max="29" width="9" style="907"/>
    <col min="30" max="16384" width="9" style="1842"/>
  </cols>
  <sheetData>
    <row r="1" spans="1:29" s="2653" customFormat="1" ht="18.75" thickBot="1">
      <c r="A1" s="3466" t="s">
        <v>2973</v>
      </c>
      <c r="B1" s="3467"/>
      <c r="C1" s="3467"/>
      <c r="D1" s="3467"/>
      <c r="E1" s="3467"/>
      <c r="F1" s="3467"/>
      <c r="G1" s="3467"/>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2968</v>
      </c>
      <c r="D2" s="2657"/>
      <c r="E2" s="2654"/>
      <c r="F2" s="2658"/>
      <c r="G2" s="2656" t="s">
        <v>2969</v>
      </c>
      <c r="H2" s="907"/>
      <c r="I2" s="907"/>
      <c r="J2" s="907"/>
      <c r="K2" s="907"/>
      <c r="L2" s="907"/>
      <c r="M2" s="907"/>
      <c r="N2" s="907"/>
      <c r="O2" s="907"/>
      <c r="P2" s="907"/>
      <c r="Q2" s="907"/>
      <c r="R2" s="907"/>
    </row>
    <row r="3" spans="1:29" ht="48">
      <c r="A3" s="2637" t="s">
        <v>2970</v>
      </c>
      <c r="B3" s="2659" t="s">
        <v>2939</v>
      </c>
      <c r="C3" s="2660" t="s">
        <v>2971</v>
      </c>
      <c r="D3" s="2661"/>
      <c r="E3" s="2638" t="s">
        <v>2970</v>
      </c>
      <c r="F3" s="2662" t="s">
        <v>2940</v>
      </c>
      <c r="G3" s="2663" t="s">
        <v>2972</v>
      </c>
      <c r="H3" s="907"/>
      <c r="I3" s="907"/>
      <c r="J3" s="907"/>
      <c r="K3" s="907"/>
      <c r="L3" s="907"/>
      <c r="M3" s="907"/>
      <c r="N3" s="907"/>
      <c r="O3" s="907"/>
      <c r="P3" s="907"/>
      <c r="Q3" s="907"/>
      <c r="R3" s="907"/>
    </row>
    <row r="4" spans="1:29" ht="36.75">
      <c r="A4" s="2638"/>
      <c r="B4" s="329" t="s">
        <v>2941</v>
      </c>
      <c r="C4" s="2664" t="s">
        <v>2942</v>
      </c>
      <c r="D4" s="2661"/>
      <c r="E4" s="2665"/>
      <c r="F4" s="1527" t="s">
        <v>2943</v>
      </c>
      <c r="G4" s="2666" t="s">
        <v>2944</v>
      </c>
      <c r="H4" s="907"/>
      <c r="I4" s="907"/>
      <c r="J4" s="907"/>
      <c r="K4" s="907"/>
      <c r="L4" s="907"/>
      <c r="M4" s="907"/>
      <c r="N4" s="907"/>
      <c r="O4" s="907"/>
      <c r="P4" s="907"/>
      <c r="Q4" s="907"/>
      <c r="R4" s="907"/>
    </row>
    <row r="5" spans="1:29" ht="36.75">
      <c r="A5" s="2638"/>
      <c r="B5" s="329" t="s">
        <v>2945</v>
      </c>
      <c r="C5" s="2664" t="s">
        <v>2946</v>
      </c>
      <c r="D5" s="2661"/>
      <c r="E5" s="2665"/>
      <c r="F5" s="329" t="s">
        <v>2947</v>
      </c>
      <c r="G5" s="2666" t="s">
        <v>2948</v>
      </c>
      <c r="H5" s="907"/>
      <c r="I5" s="907"/>
      <c r="J5" s="907"/>
      <c r="K5" s="907"/>
      <c r="L5" s="907"/>
      <c r="M5" s="907"/>
      <c r="N5" s="907"/>
      <c r="O5" s="907"/>
      <c r="P5" s="907"/>
      <c r="Q5" s="907"/>
      <c r="R5" s="907"/>
    </row>
    <row r="6" spans="1:29" ht="36">
      <c r="A6" s="2638"/>
      <c r="B6" s="329" t="s">
        <v>2949</v>
      </c>
      <c r="C6" s="2666" t="s">
        <v>2944</v>
      </c>
      <c r="D6" s="2661"/>
      <c r="E6" s="2665"/>
      <c r="F6" s="329" t="s">
        <v>2950</v>
      </c>
      <c r="G6" s="2666" t="s">
        <v>2951</v>
      </c>
      <c r="H6" s="907"/>
      <c r="I6" s="907"/>
      <c r="J6" s="907"/>
      <c r="K6" s="907"/>
      <c r="L6" s="907"/>
      <c r="M6" s="907"/>
      <c r="N6" s="907"/>
      <c r="O6" s="907"/>
      <c r="P6" s="907"/>
      <c r="Q6" s="907"/>
      <c r="R6" s="907"/>
    </row>
    <row r="7" spans="1:29" ht="24.75" thickBot="1">
      <c r="A7" s="2638"/>
      <c r="B7" s="329" t="s">
        <v>2947</v>
      </c>
      <c r="C7" s="2666" t="s">
        <v>2948</v>
      </c>
      <c r="D7" s="2667"/>
      <c r="E7" s="2668"/>
      <c r="F7" s="2669" t="s">
        <v>2952</v>
      </c>
      <c r="G7" s="2670" t="s">
        <v>2953</v>
      </c>
      <c r="H7" s="907"/>
      <c r="I7" s="907"/>
      <c r="J7" s="907"/>
      <c r="K7" s="907"/>
      <c r="L7" s="907"/>
      <c r="M7" s="907"/>
      <c r="N7" s="907"/>
      <c r="O7" s="907"/>
      <c r="P7" s="907"/>
      <c r="Q7" s="907"/>
      <c r="R7" s="907"/>
    </row>
    <row r="8" spans="1:29">
      <c r="A8" s="2638"/>
      <c r="B8" s="329" t="s">
        <v>2950</v>
      </c>
      <c r="C8" s="2666" t="s">
        <v>2951</v>
      </c>
      <c r="D8" s="2667"/>
      <c r="E8" s="2667"/>
      <c r="F8" s="2671"/>
      <c r="G8" s="2671"/>
      <c r="H8" s="907"/>
      <c r="I8" s="907"/>
      <c r="J8" s="907"/>
      <c r="K8" s="907"/>
      <c r="L8" s="907"/>
      <c r="M8" s="907"/>
      <c r="N8" s="907"/>
      <c r="O8" s="907"/>
      <c r="P8" s="907"/>
      <c r="Q8" s="907"/>
      <c r="R8" s="907"/>
    </row>
    <row r="9" spans="1:29" ht="24">
      <c r="A9" s="2638"/>
      <c r="B9" s="329" t="s">
        <v>2954</v>
      </c>
      <c r="C9" s="2664" t="s">
        <v>2955</v>
      </c>
      <c r="D9" s="2661"/>
      <c r="E9" s="2667"/>
      <c r="F9" s="2671"/>
      <c r="G9" s="2671"/>
      <c r="H9" s="907"/>
      <c r="I9" s="907"/>
      <c r="J9" s="907"/>
      <c r="K9" s="907"/>
      <c r="L9" s="907"/>
      <c r="M9" s="907"/>
      <c r="N9" s="907"/>
      <c r="O9" s="907"/>
      <c r="P9" s="907"/>
      <c r="Q9" s="907"/>
      <c r="R9" s="907"/>
    </row>
    <row r="10" spans="1:29" s="2677" customFormat="1" ht="15" thickBot="1">
      <c r="A10" s="2639"/>
      <c r="B10" s="2672" t="s">
        <v>2956</v>
      </c>
      <c r="C10" s="2673"/>
      <c r="D10" s="2661"/>
      <c r="E10" s="2661"/>
      <c r="F10" s="2671"/>
      <c r="G10" s="2671"/>
      <c r="H10" s="2674"/>
      <c r="I10" s="2675"/>
      <c r="J10" s="2676"/>
      <c r="K10" s="2674"/>
      <c r="L10" s="2675"/>
      <c r="M10" s="2676"/>
      <c r="N10" s="2674"/>
      <c r="O10" s="2675"/>
      <c r="P10" s="2676"/>
      <c r="Q10" s="2674"/>
      <c r="R10" s="2675"/>
      <c r="S10" s="907"/>
      <c r="T10" s="907"/>
      <c r="U10" s="907"/>
      <c r="V10" s="907"/>
      <c r="W10" s="907"/>
      <c r="X10" s="907"/>
      <c r="Y10" s="907"/>
      <c r="Z10" s="907"/>
      <c r="AA10" s="907"/>
      <c r="AB10" s="907"/>
      <c r="AC10" s="907"/>
    </row>
    <row r="11" spans="1:29" s="2677" customFormat="1">
      <c r="A11" s="2678"/>
      <c r="B11" s="2667"/>
      <c r="C11" s="2661"/>
      <c r="D11" s="2661"/>
      <c r="E11" s="2661"/>
      <c r="F11" s="2667"/>
      <c r="G11" s="2679"/>
      <c r="H11" s="2674"/>
      <c r="I11" s="2675"/>
      <c r="J11" s="2676"/>
      <c r="K11" s="2674"/>
      <c r="L11" s="2675"/>
      <c r="M11" s="2676"/>
      <c r="N11" s="2674"/>
      <c r="O11" s="2675"/>
      <c r="P11" s="2676"/>
      <c r="Q11" s="2674"/>
      <c r="R11" s="2675"/>
      <c r="S11" s="907"/>
      <c r="T11" s="907"/>
      <c r="U11" s="907"/>
      <c r="V11" s="907"/>
      <c r="W11" s="907"/>
      <c r="X11" s="907"/>
      <c r="Y11" s="907"/>
      <c r="Z11" s="907"/>
      <c r="AA11" s="907"/>
      <c r="AB11" s="907"/>
      <c r="AC11" s="907"/>
    </row>
    <row r="12" spans="1:29" s="2653" customFormat="1" ht="18">
      <c r="A12" s="2678"/>
      <c r="B12" s="2667"/>
      <c r="C12" s="2661"/>
      <c r="D12" s="2680"/>
      <c r="E12" s="2661"/>
      <c r="F12" s="2667"/>
      <c r="G12" s="2679"/>
      <c r="H12" s="2681"/>
      <c r="I12" s="2682"/>
      <c r="J12" s="2681"/>
      <c r="K12" s="2681"/>
      <c r="L12" s="2683"/>
      <c r="M12" s="2681"/>
      <c r="N12" s="2684"/>
      <c r="O12" s="2685"/>
      <c r="P12" s="2684"/>
      <c r="Q12" s="2684"/>
      <c r="R12" s="2651"/>
      <c r="S12" s="2652"/>
      <c r="T12" s="2652"/>
      <c r="U12" s="2652"/>
      <c r="V12" s="2652"/>
      <c r="W12" s="2652"/>
      <c r="X12" s="2652"/>
      <c r="Y12" s="2652"/>
      <c r="Z12" s="2652"/>
      <c r="AA12" s="2652"/>
      <c r="AB12" s="2652"/>
      <c r="AC12" s="2652"/>
    </row>
    <row r="13" spans="1:29" ht="15.75" thickBot="1">
      <c r="A13" s="2686" t="s">
        <v>2974</v>
      </c>
      <c r="B13" s="2680"/>
      <c r="C13" s="2680"/>
      <c r="D13" s="2678"/>
      <c r="E13" s="2680"/>
      <c r="F13" s="2680"/>
      <c r="G13" s="2680"/>
    </row>
    <row r="14" spans="1:29" ht="15" thickBot="1">
      <c r="A14" s="2690"/>
      <c r="B14" s="2690"/>
      <c r="C14" s="2691" t="s">
        <v>2957</v>
      </c>
      <c r="D14" s="2661"/>
      <c r="E14" s="2692"/>
      <c r="F14" s="2692"/>
      <c r="G14" s="2656" t="s">
        <v>2958</v>
      </c>
    </row>
    <row r="15" spans="1:29" ht="51">
      <c r="A15" s="2640" t="s">
        <v>2959</v>
      </c>
      <c r="B15" s="2693" t="s">
        <v>2939</v>
      </c>
      <c r="C15" s="2694" t="str">
        <f>C3</f>
        <v>估价对象周边居住用地比例、居住小区规模和社区发展完善程度，综合评价居住社区成熟度一般</v>
      </c>
      <c r="D15" s="2661"/>
      <c r="E15" s="2641" t="s">
        <v>2960</v>
      </c>
      <c r="F15" s="2693" t="s">
        <v>2961</v>
      </c>
      <c r="G15" s="2695" t="str">
        <f>G3</f>
        <v>估价对象位于XX开发区，园区建设成熟度XX，产业集聚程度XX</v>
      </c>
    </row>
    <row r="16" spans="1:29" ht="38.25">
      <c r="A16" s="2642"/>
      <c r="B16" s="2696" t="s">
        <v>2941</v>
      </c>
      <c r="C16" s="2697" t="str">
        <f>C4</f>
        <v>估价对象位于XX商圈，周边商业氛围成熟，人流量大，商业繁华度好</v>
      </c>
      <c r="D16" s="2661"/>
      <c r="E16" s="2643"/>
      <c r="F16" s="2698" t="s">
        <v>2943</v>
      </c>
      <c r="G16" s="2699" t="str">
        <f>G4</f>
        <v>估价对象周边道路状况、公共交通通达情况、停车便捷程度，综合评价交通便捷度较好</v>
      </c>
    </row>
    <row r="17" spans="1:18" ht="38.25">
      <c r="A17" s="2642"/>
      <c r="B17" s="2696" t="s">
        <v>2945</v>
      </c>
      <c r="C17" s="2697" t="str">
        <f>C5</f>
        <v>估价对象位于XX商圈，周边办公楼项目较多，入驻率高，办公集聚程度较好</v>
      </c>
      <c r="D17" s="2667"/>
      <c r="E17" s="2643"/>
      <c r="F17" s="2698" t="s">
        <v>2962</v>
      </c>
      <c r="G17" s="2700"/>
    </row>
    <row r="18" spans="1:18" ht="38.25">
      <c r="A18" s="2642"/>
      <c r="B18" s="2698" t="s">
        <v>2949</v>
      </c>
      <c r="C18" s="2699" t="str">
        <f>C6</f>
        <v>估价对象周边道路状况、公共交通通达情况、停车便捷程度，综合评价交通便捷度较好</v>
      </c>
      <c r="D18" s="2667"/>
      <c r="E18" s="2643"/>
      <c r="F18" s="2698" t="s">
        <v>2952</v>
      </c>
      <c r="G18" s="2699" t="str">
        <f>G7</f>
        <v>该园区内是否有污染型企业，绿化情况，卫生条件，整体环境状况判断</v>
      </c>
    </row>
    <row r="19" spans="1:18" ht="25.5">
      <c r="A19" s="2642"/>
      <c r="B19" s="2698" t="s">
        <v>2963</v>
      </c>
      <c r="C19" s="2700"/>
      <c r="D19" s="2661"/>
      <c r="E19" s="2643"/>
      <c r="F19" s="329" t="s">
        <v>2947</v>
      </c>
      <c r="G19" s="2699" t="str">
        <f>G5</f>
        <v>估价对象所在区域公共配套设施齐备情况</v>
      </c>
    </row>
    <row r="20" spans="1:18" ht="25.5">
      <c r="A20" s="2642"/>
      <c r="B20" s="2698" t="s">
        <v>2964</v>
      </c>
      <c r="C20" s="2697" t="str">
        <f>C9</f>
        <v>区域自然环境：；人文环境；综合评价环境状况一般</v>
      </c>
      <c r="D20" s="2667"/>
      <c r="E20" s="2643"/>
      <c r="F20" s="329" t="s">
        <v>2950</v>
      </c>
      <c r="G20" s="2699" t="str">
        <f>G6</f>
        <v>估价对象所在区域基础设施水平</v>
      </c>
    </row>
    <row r="21" spans="1:18" ht="25.5">
      <c r="A21" s="2642"/>
      <c r="B21" s="329" t="s">
        <v>2947</v>
      </c>
      <c r="C21" s="2699" t="str">
        <f>C7</f>
        <v>估价对象所在区域公共配套设施齐备情况</v>
      </c>
      <c r="D21" s="2661"/>
      <c r="E21" s="2643"/>
      <c r="F21" s="2698" t="s">
        <v>2965</v>
      </c>
      <c r="G21" s="2701"/>
    </row>
    <row r="22" spans="1:18" ht="13.5" customHeight="1">
      <c r="A22" s="2642"/>
      <c r="B22" s="329" t="s">
        <v>2950</v>
      </c>
      <c r="C22" s="2699" t="str">
        <f>C8</f>
        <v>估价对象所在区域基础设施水平</v>
      </c>
      <c r="D22" s="2661"/>
      <c r="E22" s="2643"/>
      <c r="F22" s="2698" t="s">
        <v>2956</v>
      </c>
      <c r="G22" s="2700"/>
    </row>
    <row r="23" spans="1:18" s="907" customFormat="1" ht="15" thickBot="1">
      <c r="A23" s="2642"/>
      <c r="B23" s="2698" t="s">
        <v>2965</v>
      </c>
      <c r="C23" s="2701"/>
      <c r="D23" s="1897"/>
      <c r="E23" s="2644"/>
      <c r="F23" s="2702" t="s">
        <v>2966</v>
      </c>
      <c r="G23" s="2703"/>
      <c r="H23" s="2687"/>
      <c r="I23" s="2688"/>
      <c r="J23" s="2687"/>
      <c r="K23" s="2687"/>
      <c r="L23" s="2688"/>
      <c r="M23" s="2687"/>
      <c r="N23" s="2687"/>
      <c r="O23" s="2688"/>
      <c r="P23" s="2687"/>
      <c r="Q23" s="2687"/>
      <c r="R23" s="2689"/>
    </row>
    <row r="24" spans="1:18" s="907" customFormat="1" ht="15" thickBot="1">
      <c r="A24" s="2645"/>
      <c r="B24" s="2702" t="s">
        <v>2967</v>
      </c>
      <c r="C24" s="2704">
        <f>C10</f>
        <v>0</v>
      </c>
      <c r="D24" s="1897"/>
      <c r="E24" s="2635"/>
      <c r="F24" s="2635"/>
      <c r="G24" s="2705"/>
      <c r="H24" s="2687"/>
      <c r="I24" s="2688"/>
      <c r="J24" s="2687"/>
      <c r="K24" s="2687"/>
      <c r="L24" s="2688"/>
      <c r="M24" s="2687"/>
      <c r="N24" s="2687"/>
      <c r="O24" s="2688"/>
      <c r="P24" s="2687"/>
      <c r="Q24" s="2687"/>
      <c r="R24" s="2689"/>
    </row>
    <row r="25" spans="1:18" s="907" customFormat="1">
      <c r="B25" s="2687"/>
      <c r="C25" s="2687"/>
      <c r="D25" s="2687"/>
      <c r="H25" s="2687"/>
      <c r="I25" s="2688"/>
      <c r="J25" s="2687"/>
      <c r="K25" s="2687"/>
      <c r="L25" s="2688"/>
      <c r="M25" s="2687"/>
      <c r="N25" s="2687"/>
      <c r="O25" s="2688"/>
      <c r="P25" s="2687"/>
      <c r="Q25" s="2687"/>
      <c r="R25" s="2689"/>
    </row>
    <row r="26" spans="1:18" s="907" customFormat="1">
      <c r="B26" s="2687"/>
      <c r="C26" s="2687"/>
      <c r="D26" s="2687"/>
      <c r="H26" s="2687"/>
      <c r="I26" s="2688"/>
      <c r="J26" s="2687"/>
      <c r="K26" s="2687"/>
      <c r="L26" s="2688"/>
      <c r="M26" s="2687"/>
      <c r="N26" s="2687"/>
      <c r="O26" s="2688"/>
      <c r="P26" s="2687"/>
      <c r="Q26" s="2687"/>
      <c r="R26" s="2689"/>
    </row>
    <row r="27" spans="1:18" s="907" customFormat="1">
      <c r="B27" s="2687"/>
      <c r="C27" s="2687"/>
      <c r="D27" s="2687"/>
      <c r="H27" s="2687"/>
      <c r="I27" s="2688"/>
      <c r="J27" s="2687"/>
      <c r="K27" s="2687"/>
      <c r="L27" s="2688"/>
      <c r="M27" s="2687"/>
      <c r="N27" s="2687"/>
      <c r="O27" s="2688"/>
      <c r="P27" s="2687"/>
      <c r="Q27" s="2687"/>
      <c r="R27" s="2689"/>
    </row>
    <row r="28" spans="1:18" s="907" customFormat="1">
      <c r="B28" s="2687"/>
      <c r="C28" s="2687"/>
      <c r="D28" s="2687"/>
      <c r="H28" s="2687"/>
      <c r="I28" s="2688"/>
      <c r="J28" s="2687"/>
      <c r="K28" s="2687"/>
      <c r="L28" s="2688"/>
      <c r="M28" s="2687"/>
      <c r="N28" s="2687"/>
      <c r="O28" s="2688"/>
      <c r="P28" s="2687"/>
      <c r="Q28" s="2687"/>
      <c r="R28" s="2689"/>
    </row>
    <row r="29" spans="1:18" s="907" customFormat="1">
      <c r="B29" s="2687"/>
      <c r="C29" s="2687"/>
      <c r="D29" s="2687"/>
      <c r="H29" s="2687"/>
      <c r="I29" s="2688"/>
      <c r="J29" s="2687"/>
      <c r="K29" s="2687"/>
      <c r="L29" s="2688"/>
      <c r="M29" s="2687"/>
      <c r="N29" s="2687"/>
      <c r="O29" s="2688"/>
      <c r="P29" s="2687"/>
      <c r="Q29" s="2687"/>
      <c r="R29" s="2689"/>
    </row>
    <row r="30" spans="1:18" s="907" customFormat="1">
      <c r="B30" s="2687"/>
      <c r="C30" s="2687"/>
      <c r="D30" s="2687"/>
      <c r="H30" s="2687"/>
      <c r="I30" s="2688"/>
      <c r="J30" s="2687"/>
      <c r="K30" s="2687"/>
      <c r="L30" s="2688"/>
      <c r="M30" s="2687"/>
      <c r="N30" s="2687"/>
      <c r="O30" s="2688"/>
      <c r="P30" s="2687"/>
      <c r="Q30" s="2687"/>
      <c r="R30" s="2689"/>
    </row>
    <row r="31" spans="1:18" s="907" customFormat="1">
      <c r="B31" s="2687"/>
      <c r="C31" s="2687"/>
      <c r="D31" s="2687"/>
      <c r="H31" s="2687"/>
      <c r="I31" s="2688"/>
      <c r="J31" s="2687"/>
      <c r="K31" s="2687"/>
      <c r="L31" s="2688"/>
      <c r="M31" s="2687"/>
      <c r="N31" s="2687"/>
      <c r="O31" s="2688"/>
      <c r="P31" s="2687"/>
      <c r="Q31" s="2687"/>
      <c r="R31" s="2689"/>
    </row>
    <row r="32" spans="1:18" s="907" customFormat="1">
      <c r="B32" s="2687"/>
      <c r="C32" s="2687"/>
      <c r="D32" s="2687"/>
      <c r="H32" s="2687"/>
      <c r="I32" s="2688"/>
      <c r="J32" s="2687"/>
      <c r="K32" s="2687"/>
      <c r="L32" s="2688"/>
      <c r="M32" s="2687"/>
      <c r="N32" s="2687"/>
      <c r="O32" s="2688"/>
      <c r="P32" s="2687"/>
      <c r="Q32" s="2687"/>
      <c r="R32" s="2689"/>
    </row>
    <row r="33" spans="2:18" s="907" customFormat="1">
      <c r="B33" s="2687"/>
      <c r="C33" s="2687"/>
      <c r="D33" s="2687"/>
      <c r="H33" s="2687"/>
      <c r="I33" s="2688"/>
      <c r="J33" s="2687"/>
      <c r="K33" s="2687"/>
      <c r="L33" s="2688"/>
      <c r="M33" s="2687"/>
      <c r="N33" s="2687"/>
      <c r="O33" s="2688"/>
      <c r="P33" s="2687"/>
      <c r="Q33" s="2687"/>
      <c r="R33" s="2689"/>
    </row>
    <row r="34" spans="2:18" s="907" customFormat="1">
      <c r="B34" s="2687"/>
      <c r="C34" s="2687"/>
      <c r="D34" s="2687"/>
      <c r="H34" s="2687"/>
      <c r="I34" s="2688"/>
      <c r="J34" s="2687"/>
      <c r="K34" s="2687"/>
      <c r="L34" s="2688"/>
      <c r="M34" s="2687"/>
      <c r="N34" s="2687"/>
      <c r="O34" s="2688"/>
      <c r="P34" s="2687"/>
      <c r="Q34" s="2687"/>
      <c r="R34" s="2689"/>
    </row>
    <row r="35" spans="2:18" s="907" customFormat="1">
      <c r="B35" s="2687"/>
      <c r="C35" s="2687"/>
      <c r="D35" s="2687"/>
      <c r="H35" s="2687"/>
      <c r="I35" s="2688"/>
      <c r="J35" s="2687"/>
      <c r="K35" s="2687"/>
      <c r="L35" s="2688"/>
      <c r="M35" s="2687"/>
      <c r="N35" s="2687"/>
      <c r="O35" s="2688"/>
      <c r="P35" s="2687"/>
      <c r="Q35" s="2687"/>
      <c r="R35" s="2689"/>
    </row>
    <row r="36" spans="2:18" s="907" customFormat="1">
      <c r="B36" s="2687"/>
      <c r="C36" s="2687"/>
      <c r="D36" s="2687"/>
      <c r="H36" s="2687"/>
      <c r="I36" s="2688"/>
      <c r="J36" s="2687"/>
      <c r="K36" s="2687"/>
      <c r="L36" s="2688"/>
      <c r="M36" s="2687"/>
      <c r="N36" s="2687"/>
      <c r="O36" s="2688"/>
      <c r="P36" s="2687"/>
      <c r="Q36" s="2687"/>
      <c r="R36" s="2689"/>
    </row>
    <row r="37" spans="2:18" s="907" customFormat="1">
      <c r="B37" s="2687"/>
      <c r="C37" s="2687"/>
      <c r="D37" s="2687"/>
      <c r="H37" s="2687"/>
      <c r="I37" s="2688"/>
      <c r="J37" s="2687"/>
      <c r="K37" s="2687"/>
      <c r="L37" s="2688"/>
      <c r="M37" s="2687"/>
      <c r="N37" s="2687"/>
      <c r="O37" s="2688"/>
      <c r="P37" s="2687"/>
      <c r="Q37" s="2687"/>
      <c r="R37" s="2689"/>
    </row>
    <row r="38" spans="2:18" s="907" customFormat="1">
      <c r="B38" s="2687"/>
      <c r="C38" s="2687"/>
      <c r="D38" s="2687"/>
      <c r="E38" s="2687"/>
      <c r="F38" s="2687"/>
      <c r="G38" s="2688"/>
      <c r="H38" s="2687"/>
      <c r="I38" s="2688"/>
      <c r="J38" s="2687"/>
      <c r="K38" s="2687"/>
      <c r="L38" s="2688"/>
      <c r="M38" s="2687"/>
      <c r="N38" s="2687"/>
      <c r="O38" s="2688"/>
      <c r="P38" s="2687"/>
      <c r="Q38" s="2687"/>
      <c r="R38" s="2689"/>
    </row>
    <row r="39" spans="2:18" s="907" customFormat="1">
      <c r="B39" s="2687"/>
      <c r="C39" s="2687"/>
      <c r="D39" s="2687"/>
      <c r="E39" s="2687"/>
      <c r="F39" s="2687"/>
      <c r="G39" s="2688"/>
      <c r="H39" s="2687"/>
      <c r="I39" s="2688"/>
      <c r="J39" s="2687"/>
      <c r="K39" s="2687"/>
      <c r="L39" s="2688"/>
      <c r="M39" s="2687"/>
      <c r="N39" s="2687"/>
      <c r="O39" s="2688"/>
      <c r="P39" s="2687"/>
      <c r="Q39" s="2687"/>
      <c r="R39" s="2689"/>
    </row>
    <row r="40" spans="2:18" s="907" customFormat="1">
      <c r="B40" s="2687"/>
      <c r="C40" s="2687"/>
      <c r="D40" s="2687"/>
      <c r="E40" s="2687"/>
      <c r="F40" s="2687"/>
      <c r="G40" s="2688"/>
      <c r="H40" s="2687"/>
      <c r="I40" s="2688"/>
      <c r="J40" s="2687"/>
      <c r="K40" s="2687"/>
      <c r="L40" s="2688"/>
      <c r="M40" s="2687"/>
      <c r="N40" s="2687"/>
      <c r="O40" s="2688"/>
      <c r="P40" s="2687"/>
      <c r="Q40" s="2687"/>
      <c r="R40" s="2689"/>
    </row>
    <row r="41" spans="2:18" s="907" customFormat="1">
      <c r="B41" s="2687"/>
      <c r="C41" s="2687"/>
      <c r="D41" s="2687"/>
      <c r="E41" s="2687"/>
      <c r="F41" s="2687"/>
      <c r="G41" s="2688"/>
      <c r="H41" s="2687"/>
      <c r="I41" s="2688"/>
      <c r="J41" s="2687"/>
      <c r="K41" s="2687"/>
      <c r="L41" s="2688"/>
      <c r="M41" s="2687"/>
      <c r="N41" s="2687"/>
      <c r="O41" s="2688"/>
      <c r="P41" s="2687"/>
      <c r="Q41" s="2687"/>
      <c r="R41" s="2689"/>
    </row>
    <row r="42" spans="2:18" s="907" customFormat="1">
      <c r="B42" s="2687"/>
      <c r="C42" s="2687"/>
      <c r="D42" s="2687"/>
      <c r="E42" s="2687"/>
      <c r="F42" s="2687"/>
      <c r="G42" s="2688"/>
      <c r="H42" s="2687"/>
      <c r="I42" s="2688"/>
      <c r="J42" s="2687"/>
      <c r="K42" s="2687"/>
      <c r="L42" s="2688"/>
      <c r="M42" s="2687"/>
      <c r="N42" s="2687"/>
      <c r="O42" s="2688"/>
      <c r="P42" s="2687"/>
      <c r="Q42" s="2687"/>
      <c r="R42" s="2689"/>
    </row>
    <row r="43" spans="2:18" s="907" customFormat="1">
      <c r="B43" s="2687"/>
      <c r="C43" s="2687"/>
      <c r="D43" s="2687"/>
      <c r="E43" s="2687"/>
      <c r="F43" s="2687"/>
      <c r="G43" s="2688"/>
      <c r="H43" s="2687"/>
      <c r="I43" s="2688"/>
      <c r="J43" s="2687"/>
      <c r="K43" s="2687"/>
      <c r="L43" s="2688"/>
      <c r="M43" s="2687"/>
      <c r="N43" s="2687"/>
      <c r="O43" s="2688"/>
      <c r="P43" s="2687"/>
      <c r="Q43" s="2687"/>
      <c r="R43" s="2689"/>
    </row>
    <row r="44" spans="2:18" s="907" customFormat="1">
      <c r="B44" s="2687"/>
      <c r="C44" s="2687"/>
      <c r="D44" s="2687"/>
      <c r="E44" s="2687"/>
      <c r="F44" s="2687"/>
      <c r="G44" s="2688"/>
      <c r="H44" s="2687"/>
      <c r="I44" s="2688"/>
      <c r="J44" s="2687"/>
      <c r="K44" s="2687"/>
      <c r="L44" s="2688"/>
      <c r="M44" s="2687"/>
      <c r="N44" s="2687"/>
      <c r="O44" s="2688"/>
      <c r="P44" s="2687"/>
      <c r="Q44" s="2687"/>
      <c r="R44" s="2689"/>
    </row>
    <row r="45" spans="2:18" s="907" customFormat="1">
      <c r="B45" s="2687"/>
      <c r="C45" s="2687"/>
      <c r="D45" s="2687"/>
      <c r="E45" s="2687"/>
      <c r="F45" s="2687"/>
      <c r="G45" s="2688"/>
      <c r="H45" s="2687"/>
      <c r="I45" s="2688"/>
      <c r="J45" s="2687"/>
      <c r="K45" s="2687"/>
      <c r="L45" s="2688"/>
      <c r="M45" s="2687"/>
      <c r="N45" s="2687"/>
      <c r="O45" s="2688"/>
      <c r="P45" s="2687"/>
      <c r="Q45" s="2687"/>
      <c r="R45" s="2689"/>
    </row>
    <row r="46" spans="2:18" s="907" customFormat="1">
      <c r="B46" s="2687"/>
      <c r="C46" s="2687"/>
      <c r="D46" s="2687"/>
      <c r="E46" s="2687"/>
      <c r="F46" s="2687"/>
      <c r="G46" s="2688"/>
      <c r="H46" s="2687"/>
      <c r="I46" s="2688"/>
      <c r="J46" s="2687"/>
      <c r="K46" s="2687"/>
      <c r="L46" s="2688"/>
      <c r="M46" s="2687"/>
      <c r="N46" s="2687"/>
      <c r="O46" s="2688"/>
      <c r="P46" s="2687"/>
      <c r="Q46" s="2687"/>
      <c r="R46" s="2689"/>
    </row>
    <row r="47" spans="2:18" s="907" customFormat="1">
      <c r="B47" s="2687"/>
      <c r="C47" s="2687"/>
      <c r="D47" s="2687"/>
      <c r="E47" s="2687"/>
      <c r="F47" s="2687"/>
      <c r="G47" s="2688"/>
      <c r="H47" s="2687"/>
      <c r="I47" s="2688"/>
      <c r="J47" s="2687"/>
      <c r="K47" s="2687"/>
      <c r="L47" s="2688"/>
      <c r="M47" s="2687"/>
      <c r="N47" s="2687"/>
      <c r="O47" s="2688"/>
      <c r="P47" s="2687"/>
      <c r="Q47" s="2687"/>
      <c r="R47" s="2689"/>
    </row>
    <row r="48" spans="2:18" s="907" customFormat="1">
      <c r="B48" s="2687"/>
      <c r="C48" s="2687"/>
      <c r="D48" s="2687"/>
      <c r="E48" s="2687"/>
      <c r="F48" s="2687"/>
      <c r="G48" s="2688"/>
      <c r="H48" s="2687"/>
      <c r="I48" s="2688"/>
      <c r="J48" s="2687"/>
      <c r="K48" s="2687"/>
      <c r="L48" s="2688"/>
      <c r="M48" s="2687"/>
      <c r="N48" s="2687"/>
      <c r="O48" s="2688"/>
      <c r="P48" s="2687"/>
      <c r="Q48" s="2687"/>
      <c r="R48" s="2689"/>
    </row>
    <row r="49" spans="2:18" s="907" customFormat="1">
      <c r="B49" s="2687"/>
      <c r="C49" s="2687"/>
      <c r="D49" s="2687"/>
      <c r="E49" s="2687"/>
      <c r="F49" s="2687"/>
      <c r="G49" s="2688"/>
      <c r="H49" s="2687"/>
      <c r="I49" s="2688"/>
      <c r="J49" s="2687"/>
      <c r="K49" s="2687"/>
      <c r="L49" s="2688"/>
      <c r="M49" s="2687"/>
      <c r="N49" s="2687"/>
      <c r="O49" s="2688"/>
      <c r="P49" s="2687"/>
      <c r="Q49" s="2687"/>
      <c r="R49" s="2689"/>
    </row>
    <row r="50" spans="2:18" s="907" customFormat="1">
      <c r="B50" s="2687"/>
      <c r="C50" s="2687"/>
      <c r="D50" s="2687"/>
      <c r="E50" s="2687"/>
      <c r="F50" s="2687"/>
      <c r="G50" s="2688"/>
      <c r="H50" s="2687"/>
      <c r="I50" s="2688"/>
      <c r="J50" s="2687"/>
      <c r="K50" s="2687"/>
      <c r="L50" s="2688"/>
      <c r="M50" s="2687"/>
      <c r="N50" s="2687"/>
      <c r="O50" s="2688"/>
      <c r="P50" s="2687"/>
      <c r="Q50" s="2687"/>
      <c r="R50" s="2689"/>
    </row>
    <row r="51" spans="2:18" s="907" customFormat="1">
      <c r="B51" s="2687"/>
      <c r="C51" s="2687"/>
      <c r="D51" s="2687"/>
      <c r="E51" s="2687"/>
      <c r="F51" s="2687"/>
      <c r="G51" s="2688"/>
      <c r="H51" s="2687"/>
      <c r="I51" s="2688"/>
      <c r="J51" s="2687"/>
      <c r="K51" s="2687"/>
      <c r="L51" s="2688"/>
      <c r="M51" s="2687"/>
      <c r="N51" s="2687"/>
      <c r="O51" s="2688"/>
      <c r="P51" s="2687"/>
      <c r="Q51" s="2687"/>
      <c r="R51" s="2689"/>
    </row>
    <row r="52" spans="2:18" s="907" customFormat="1">
      <c r="B52" s="2687"/>
      <c r="C52" s="2687"/>
      <c r="D52" s="2687"/>
      <c r="E52" s="2687"/>
      <c r="F52" s="2687"/>
      <c r="G52" s="2688"/>
      <c r="H52" s="2687"/>
      <c r="I52" s="2688"/>
      <c r="J52" s="2687"/>
      <c r="K52" s="2687"/>
      <c r="L52" s="2688"/>
      <c r="M52" s="2687"/>
      <c r="N52" s="2687"/>
      <c r="O52" s="2688"/>
      <c r="P52" s="2687"/>
      <c r="Q52" s="2687"/>
      <c r="R52" s="2689"/>
    </row>
    <row r="53" spans="2:18" s="907" customFormat="1">
      <c r="B53" s="2687"/>
      <c r="C53" s="2687"/>
      <c r="D53" s="2687"/>
      <c r="E53" s="2687"/>
      <c r="F53" s="2687"/>
      <c r="G53" s="2688"/>
      <c r="H53" s="2687"/>
      <c r="I53" s="2688"/>
      <c r="J53" s="2687"/>
      <c r="K53" s="2687"/>
      <c r="L53" s="2688"/>
      <c r="M53" s="2687"/>
      <c r="N53" s="2687"/>
      <c r="O53" s="2688"/>
      <c r="P53" s="2687"/>
      <c r="Q53" s="2687"/>
      <c r="R53" s="2689"/>
    </row>
    <row r="54" spans="2:18" s="907" customFormat="1">
      <c r="B54" s="2687"/>
      <c r="C54" s="2687"/>
      <c r="D54" s="2687"/>
      <c r="E54" s="2687"/>
      <c r="F54" s="2687"/>
      <c r="G54" s="2688"/>
      <c r="H54" s="2687"/>
      <c r="I54" s="2688"/>
      <c r="J54" s="2687"/>
      <c r="K54" s="2687"/>
      <c r="L54" s="2688"/>
      <c r="M54" s="2687"/>
      <c r="N54" s="2687"/>
      <c r="O54" s="2688"/>
      <c r="P54" s="2687"/>
      <c r="Q54" s="2687"/>
      <c r="R54" s="2689"/>
    </row>
    <row r="55" spans="2:18" s="907" customFormat="1">
      <c r="B55" s="2687"/>
      <c r="C55" s="2687"/>
      <c r="D55" s="2687"/>
      <c r="E55" s="2687"/>
      <c r="F55" s="2687"/>
      <c r="G55" s="2688"/>
      <c r="H55" s="2687"/>
      <c r="I55" s="2688"/>
      <c r="J55" s="2687"/>
      <c r="K55" s="2687"/>
      <c r="L55" s="2688"/>
      <c r="M55" s="2687"/>
      <c r="N55" s="2687"/>
      <c r="O55" s="2688"/>
      <c r="P55" s="2687"/>
      <c r="Q55" s="2687"/>
      <c r="R55" s="2689"/>
    </row>
    <row r="56" spans="2:18" s="907" customFormat="1">
      <c r="B56" s="2687"/>
      <c r="C56" s="2687"/>
      <c r="D56" s="2687"/>
      <c r="E56" s="2687"/>
      <c r="F56" s="2687"/>
      <c r="G56" s="2688"/>
      <c r="H56" s="2687"/>
      <c r="I56" s="2688"/>
      <c r="J56" s="2687"/>
      <c r="K56" s="2687"/>
      <c r="L56" s="2688"/>
      <c r="M56" s="2687"/>
      <c r="N56" s="2687"/>
      <c r="O56" s="2688"/>
      <c r="P56" s="2687"/>
      <c r="Q56" s="2687"/>
      <c r="R56" s="2689"/>
    </row>
    <row r="57" spans="2:18" s="907" customFormat="1">
      <c r="B57" s="2687"/>
      <c r="C57" s="2687"/>
      <c r="D57" s="2687"/>
      <c r="E57" s="2687"/>
      <c r="F57" s="2687"/>
      <c r="G57" s="2688"/>
      <c r="H57" s="2687"/>
      <c r="I57" s="2688"/>
      <c r="J57" s="2687"/>
      <c r="K57" s="2687"/>
      <c r="L57" s="2688"/>
      <c r="M57" s="2687"/>
      <c r="N57" s="2687"/>
      <c r="O57" s="2688"/>
      <c r="P57" s="2687"/>
      <c r="Q57" s="2687"/>
      <c r="R57" s="2689"/>
    </row>
    <row r="58" spans="2:18" s="907" customFormat="1">
      <c r="B58" s="2687"/>
      <c r="C58" s="2687"/>
      <c r="D58" s="2687"/>
      <c r="E58" s="2687"/>
      <c r="F58" s="2687"/>
      <c r="G58" s="2688"/>
      <c r="H58" s="2687"/>
      <c r="I58" s="2688"/>
      <c r="J58" s="2687"/>
      <c r="K58" s="2687"/>
      <c r="L58" s="2688"/>
      <c r="M58" s="2687"/>
      <c r="N58" s="2687"/>
      <c r="O58" s="2688"/>
      <c r="P58" s="2687"/>
      <c r="Q58" s="2687"/>
      <c r="R58" s="2689"/>
    </row>
    <row r="59" spans="2:18" s="907" customFormat="1">
      <c r="B59" s="2687"/>
      <c r="C59" s="2687"/>
      <c r="D59" s="2687"/>
      <c r="E59" s="2687"/>
      <c r="F59" s="2687"/>
      <c r="G59" s="2688"/>
      <c r="H59" s="2687"/>
      <c r="I59" s="2688"/>
      <c r="J59" s="2687"/>
      <c r="K59" s="2687"/>
      <c r="L59" s="2688"/>
      <c r="M59" s="2687"/>
      <c r="N59" s="2687"/>
      <c r="O59" s="2688"/>
      <c r="P59" s="2687"/>
      <c r="Q59" s="2687"/>
      <c r="R59" s="2689"/>
    </row>
    <row r="60" spans="2:18" s="907" customFormat="1">
      <c r="B60" s="2687"/>
      <c r="C60" s="2687"/>
      <c r="D60" s="2687"/>
      <c r="E60" s="2687"/>
      <c r="F60" s="2687"/>
      <c r="G60" s="2688"/>
      <c r="H60" s="2687"/>
      <c r="I60" s="2688"/>
      <c r="J60" s="2687"/>
      <c r="K60" s="2687"/>
      <c r="L60" s="2688"/>
      <c r="M60" s="2687"/>
      <c r="N60" s="2687"/>
      <c r="O60" s="2688"/>
      <c r="P60" s="2687"/>
      <c r="Q60" s="2687"/>
      <c r="R60" s="2689"/>
    </row>
    <row r="61" spans="2:18" s="907" customFormat="1">
      <c r="B61" s="2687"/>
      <c r="C61" s="2687"/>
      <c r="D61" s="2687"/>
      <c r="E61" s="2687"/>
      <c r="F61" s="2687"/>
      <c r="G61" s="2688"/>
      <c r="H61" s="2687"/>
      <c r="I61" s="2688"/>
      <c r="J61" s="2687"/>
      <c r="K61" s="2687"/>
      <c r="L61" s="2688"/>
      <c r="M61" s="2687"/>
      <c r="N61" s="2687"/>
      <c r="O61" s="2688"/>
      <c r="P61" s="2687"/>
      <c r="Q61" s="2687"/>
      <c r="R61" s="2689"/>
    </row>
    <row r="62" spans="2:18" s="907" customFormat="1">
      <c r="B62" s="2687"/>
      <c r="C62" s="2687"/>
      <c r="D62" s="2687"/>
      <c r="E62" s="2687"/>
      <c r="F62" s="2687"/>
      <c r="G62" s="2688"/>
      <c r="H62" s="2687"/>
      <c r="I62" s="2688"/>
      <c r="J62" s="2687"/>
      <c r="K62" s="2687"/>
      <c r="L62" s="2688"/>
      <c r="M62" s="2687"/>
      <c r="N62" s="2687"/>
      <c r="O62" s="2688"/>
      <c r="P62" s="2687"/>
      <c r="Q62" s="2687"/>
      <c r="R62" s="2689"/>
    </row>
    <row r="63" spans="2:18" s="907" customFormat="1">
      <c r="B63" s="2687"/>
      <c r="C63" s="2687"/>
      <c r="D63" s="2687"/>
      <c r="E63" s="2687"/>
      <c r="F63" s="2687"/>
      <c r="G63" s="2688"/>
      <c r="H63" s="2687"/>
      <c r="I63" s="2688"/>
      <c r="J63" s="2687"/>
      <c r="K63" s="2687"/>
      <c r="L63" s="2688"/>
      <c r="M63" s="2687"/>
      <c r="N63" s="2687"/>
      <c r="O63" s="2688"/>
      <c r="P63" s="2687"/>
      <c r="Q63" s="2687"/>
      <c r="R63" s="2689"/>
    </row>
    <row r="64" spans="2:18" s="907" customFormat="1">
      <c r="B64" s="2687"/>
      <c r="C64" s="2687"/>
      <c r="D64" s="2687"/>
      <c r="E64" s="2687"/>
      <c r="F64" s="2687"/>
      <c r="G64" s="2688"/>
      <c r="H64" s="2687"/>
      <c r="I64" s="2688"/>
      <c r="J64" s="2687"/>
      <c r="K64" s="2687"/>
      <c r="L64" s="2688"/>
      <c r="M64" s="2687"/>
      <c r="N64" s="2687"/>
      <c r="O64" s="2688"/>
      <c r="P64" s="2687"/>
      <c r="Q64" s="2687"/>
      <c r="R64" s="2689"/>
    </row>
    <row r="65" spans="2:18" s="907" customFormat="1">
      <c r="B65" s="2687"/>
      <c r="C65" s="2687"/>
      <c r="D65" s="2687"/>
      <c r="E65" s="2687"/>
      <c r="F65" s="2687"/>
      <c r="G65" s="2688"/>
      <c r="H65" s="2687"/>
      <c r="I65" s="2688"/>
      <c r="J65" s="2687"/>
      <c r="K65" s="2687"/>
      <c r="L65" s="2688"/>
      <c r="M65" s="2687"/>
      <c r="N65" s="2687"/>
      <c r="O65" s="2688"/>
      <c r="P65" s="2687"/>
      <c r="Q65" s="2687"/>
      <c r="R65" s="2689"/>
    </row>
    <row r="66" spans="2:18" s="907" customFormat="1">
      <c r="B66" s="2687"/>
      <c r="C66" s="2687"/>
      <c r="D66" s="2687"/>
      <c r="E66" s="2687"/>
      <c r="F66" s="2687"/>
      <c r="G66" s="2688"/>
      <c r="H66" s="2687"/>
      <c r="I66" s="2688"/>
      <c r="J66" s="2687"/>
      <c r="K66" s="2687"/>
      <c r="L66" s="2688"/>
      <c r="M66" s="2687"/>
      <c r="N66" s="2687"/>
      <c r="O66" s="2688"/>
      <c r="P66" s="2687"/>
      <c r="Q66" s="2687"/>
      <c r="R66" s="2689"/>
    </row>
    <row r="67" spans="2:18" s="907" customFormat="1">
      <c r="B67" s="2687"/>
      <c r="C67" s="2687"/>
      <c r="D67" s="2687"/>
      <c r="E67" s="2687"/>
      <c r="F67" s="2687"/>
      <c r="G67" s="2688"/>
      <c r="H67" s="2687"/>
      <c r="I67" s="2688"/>
      <c r="J67" s="2687"/>
      <c r="K67" s="2687"/>
      <c r="L67" s="2688"/>
      <c r="M67" s="2687"/>
      <c r="N67" s="2687"/>
      <c r="O67" s="2688"/>
      <c r="P67" s="2687"/>
      <c r="Q67" s="2687"/>
      <c r="R67" s="2689"/>
    </row>
    <row r="68" spans="2:18" s="907" customFormat="1">
      <c r="B68" s="2687"/>
      <c r="C68" s="2687"/>
      <c r="D68" s="2687"/>
      <c r="E68" s="2687"/>
      <c r="F68" s="2687"/>
      <c r="G68" s="2688"/>
      <c r="H68" s="2687"/>
      <c r="I68" s="2688"/>
      <c r="J68" s="2687"/>
      <c r="K68" s="2687"/>
      <c r="L68" s="2688"/>
      <c r="M68" s="2687"/>
      <c r="N68" s="2687"/>
      <c r="O68" s="2688"/>
      <c r="P68" s="2687"/>
      <c r="Q68" s="2687"/>
      <c r="R68" s="2689"/>
    </row>
    <row r="69" spans="2:18" s="907" customFormat="1">
      <c r="B69" s="2687"/>
      <c r="C69" s="2687"/>
      <c r="D69" s="2687"/>
      <c r="E69" s="2687"/>
      <c r="F69" s="2687"/>
      <c r="G69" s="2688"/>
      <c r="H69" s="2687"/>
      <c r="I69" s="2688"/>
      <c r="J69" s="2687"/>
      <c r="K69" s="2687"/>
      <c r="L69" s="2688"/>
      <c r="M69" s="2687"/>
      <c r="N69" s="2687"/>
      <c r="O69" s="2688"/>
      <c r="P69" s="2687"/>
      <c r="Q69" s="2687"/>
      <c r="R69" s="2689"/>
    </row>
    <row r="70" spans="2:18" s="907" customFormat="1">
      <c r="B70" s="2687"/>
      <c r="C70" s="2687"/>
      <c r="D70" s="2687"/>
      <c r="E70" s="2687"/>
      <c r="F70" s="2687"/>
      <c r="G70" s="2688"/>
      <c r="H70" s="2687"/>
      <c r="I70" s="2688"/>
      <c r="J70" s="2687"/>
      <c r="K70" s="2687"/>
      <c r="L70" s="2688"/>
      <c r="M70" s="2687"/>
      <c r="N70" s="2687"/>
      <c r="O70" s="2688"/>
      <c r="P70" s="2687"/>
      <c r="Q70" s="2687"/>
      <c r="R70" s="2689"/>
    </row>
    <row r="71" spans="2:18" s="907" customFormat="1">
      <c r="B71" s="2687"/>
      <c r="C71" s="2687"/>
      <c r="D71" s="2687"/>
      <c r="E71" s="2687"/>
      <c r="F71" s="2687"/>
      <c r="G71" s="2688"/>
      <c r="H71" s="2687"/>
      <c r="I71" s="2688"/>
      <c r="J71" s="2687"/>
      <c r="K71" s="2687"/>
      <c r="L71" s="2688"/>
      <c r="M71" s="2687"/>
      <c r="N71" s="2687"/>
      <c r="O71" s="2688"/>
      <c r="P71" s="2687"/>
      <c r="Q71" s="2687"/>
      <c r="R71" s="2689"/>
    </row>
    <row r="72" spans="2:18" s="907" customFormat="1">
      <c r="B72" s="2687"/>
      <c r="C72" s="2687"/>
      <c r="D72" s="2687"/>
      <c r="E72" s="2687"/>
      <c r="F72" s="2687"/>
      <c r="G72" s="2688"/>
      <c r="H72" s="2687"/>
      <c r="I72" s="2688"/>
      <c r="J72" s="2687"/>
      <c r="K72" s="2687"/>
      <c r="L72" s="2688"/>
      <c r="M72" s="2687"/>
      <c r="N72" s="2687"/>
      <c r="O72" s="2688"/>
      <c r="P72" s="2687"/>
      <c r="Q72" s="2687"/>
      <c r="R72" s="2689"/>
    </row>
    <row r="73" spans="2:18" s="907" customFormat="1">
      <c r="B73" s="2687"/>
      <c r="C73" s="2687"/>
      <c r="D73" s="2687"/>
      <c r="E73" s="2687"/>
      <c r="F73" s="2687"/>
      <c r="G73" s="2688"/>
      <c r="H73" s="2687"/>
      <c r="I73" s="2688"/>
      <c r="J73" s="2687"/>
      <c r="K73" s="2687"/>
      <c r="L73" s="2688"/>
      <c r="M73" s="2687"/>
      <c r="N73" s="2687"/>
      <c r="O73" s="2688"/>
      <c r="P73" s="2687"/>
      <c r="Q73" s="2687"/>
      <c r="R73" s="2689"/>
    </row>
    <row r="74" spans="2:18" s="907" customFormat="1">
      <c r="B74" s="2687"/>
      <c r="C74" s="2687"/>
      <c r="D74" s="2687"/>
      <c r="E74" s="2687"/>
      <c r="F74" s="2687"/>
      <c r="G74" s="2688"/>
      <c r="H74" s="2687"/>
      <c r="I74" s="2688"/>
      <c r="J74" s="2687"/>
      <c r="K74" s="2687"/>
      <c r="L74" s="2688"/>
      <c r="M74" s="2687"/>
      <c r="N74" s="2687"/>
      <c r="O74" s="2688"/>
      <c r="P74" s="2687"/>
      <c r="Q74" s="2687"/>
      <c r="R74" s="2689"/>
    </row>
    <row r="75" spans="2:18" s="907" customFormat="1">
      <c r="B75" s="2687"/>
      <c r="C75" s="2687"/>
      <c r="D75" s="2687"/>
      <c r="E75" s="2687"/>
      <c r="F75" s="2687"/>
      <c r="G75" s="2688"/>
      <c r="H75" s="2687"/>
      <c r="I75" s="2688"/>
      <c r="J75" s="2687"/>
      <c r="K75" s="2687"/>
      <c r="L75" s="2688"/>
      <c r="M75" s="2687"/>
      <c r="N75" s="2687"/>
      <c r="O75" s="2688"/>
      <c r="P75" s="2687"/>
      <c r="Q75" s="2687"/>
      <c r="R75" s="2689"/>
    </row>
    <row r="76" spans="2:18" s="907" customFormat="1">
      <c r="B76" s="2687"/>
      <c r="C76" s="2687"/>
      <c r="D76" s="2687"/>
      <c r="E76" s="2687"/>
      <c r="F76" s="2687"/>
      <c r="G76" s="2688"/>
      <c r="H76" s="2687"/>
      <c r="I76" s="2688"/>
      <c r="J76" s="2687"/>
      <c r="K76" s="2687"/>
      <c r="L76" s="2688"/>
      <c r="M76" s="2687"/>
      <c r="N76" s="2687"/>
      <c r="O76" s="2688"/>
      <c r="P76" s="2687"/>
      <c r="Q76" s="2687"/>
      <c r="R76" s="2689"/>
    </row>
    <row r="77" spans="2:18" s="907" customFormat="1">
      <c r="B77" s="2687"/>
      <c r="C77" s="2687"/>
      <c r="D77" s="2687"/>
      <c r="E77" s="2687"/>
      <c r="F77" s="2687"/>
      <c r="G77" s="2688"/>
      <c r="H77" s="2687"/>
      <c r="I77" s="2688"/>
      <c r="J77" s="2687"/>
      <c r="K77" s="2687"/>
      <c r="L77" s="2688"/>
      <c r="M77" s="2687"/>
      <c r="N77" s="2687"/>
      <c r="O77" s="2688"/>
      <c r="P77" s="2687"/>
      <c r="Q77" s="2687"/>
      <c r="R77" s="2689"/>
    </row>
    <row r="78" spans="2:18" s="907" customFormat="1">
      <c r="B78" s="2687"/>
      <c r="C78" s="2687"/>
      <c r="D78" s="2687"/>
      <c r="E78" s="2687"/>
      <c r="F78" s="2687"/>
      <c r="G78" s="2688"/>
      <c r="H78" s="2687"/>
      <c r="I78" s="2688"/>
      <c r="J78" s="2687"/>
      <c r="K78" s="2687"/>
      <c r="L78" s="2688"/>
      <c r="M78" s="2687"/>
      <c r="N78" s="2687"/>
      <c r="O78" s="2688"/>
      <c r="P78" s="2687"/>
      <c r="Q78" s="2687"/>
      <c r="R78" s="2689"/>
    </row>
    <row r="79" spans="2:18" s="907" customFormat="1">
      <c r="B79" s="2687"/>
      <c r="C79" s="2687"/>
      <c r="D79" s="2687"/>
      <c r="E79" s="2687"/>
      <c r="F79" s="2687"/>
      <c r="G79" s="2688"/>
      <c r="H79" s="2687"/>
      <c r="I79" s="2688"/>
      <c r="J79" s="2687"/>
      <c r="K79" s="2687"/>
      <c r="L79" s="2688"/>
      <c r="M79" s="2687"/>
      <c r="N79" s="2687"/>
      <c r="O79" s="2688"/>
      <c r="P79" s="2687"/>
      <c r="Q79" s="2687"/>
      <c r="R79" s="2689"/>
    </row>
    <row r="80" spans="2:18" s="907" customFormat="1">
      <c r="B80" s="2687"/>
      <c r="C80" s="2687"/>
      <c r="D80" s="2687"/>
      <c r="E80" s="2687"/>
      <c r="F80" s="2687"/>
      <c r="G80" s="2688"/>
      <c r="H80" s="2687"/>
      <c r="I80" s="2688"/>
      <c r="J80" s="2687"/>
      <c r="K80" s="2687"/>
      <c r="L80" s="2688"/>
      <c r="M80" s="2687"/>
      <c r="N80" s="2687"/>
      <c r="O80" s="2688"/>
      <c r="P80" s="2687"/>
      <c r="Q80" s="2687"/>
      <c r="R80" s="2689"/>
    </row>
    <row r="81" spans="2:18" s="907" customFormat="1">
      <c r="B81" s="2687"/>
      <c r="C81" s="2687"/>
      <c r="D81" s="2687"/>
      <c r="E81" s="2687"/>
      <c r="F81" s="2687"/>
      <c r="G81" s="2688"/>
      <c r="H81" s="2687"/>
      <c r="I81" s="2688"/>
      <c r="J81" s="2687"/>
      <c r="K81" s="2687"/>
      <c r="L81" s="2688"/>
      <c r="M81" s="2687"/>
      <c r="N81" s="2687"/>
      <c r="O81" s="2688"/>
      <c r="P81" s="2687"/>
      <c r="Q81" s="2687"/>
      <c r="R81" s="2689"/>
    </row>
    <row r="82" spans="2:18" s="907" customFormat="1">
      <c r="B82" s="2687"/>
      <c r="C82" s="2687"/>
      <c r="D82" s="2687"/>
      <c r="E82" s="2687"/>
      <c r="F82" s="2687"/>
      <c r="G82" s="2688"/>
      <c r="H82" s="2687"/>
      <c r="I82" s="2688"/>
      <c r="J82" s="2687"/>
      <c r="K82" s="2687"/>
      <c r="L82" s="2688"/>
      <c r="M82" s="2687"/>
      <c r="N82" s="2687"/>
      <c r="O82" s="2688"/>
      <c r="P82" s="2687"/>
      <c r="Q82" s="2687"/>
      <c r="R82" s="2689"/>
    </row>
    <row r="83" spans="2:18" s="907" customFormat="1">
      <c r="B83" s="2687"/>
      <c r="C83" s="2687"/>
      <c r="D83" s="2687"/>
      <c r="E83" s="2687"/>
      <c r="F83" s="2687"/>
      <c r="G83" s="2688"/>
      <c r="H83" s="2687"/>
      <c r="I83" s="2688"/>
      <c r="J83" s="2687"/>
      <c r="K83" s="2687"/>
      <c r="L83" s="2688"/>
      <c r="M83" s="2687"/>
      <c r="N83" s="2687"/>
      <c r="O83" s="2688"/>
      <c r="P83" s="2687"/>
      <c r="Q83" s="2687"/>
      <c r="R83" s="2689"/>
    </row>
    <row r="84" spans="2:18" s="907" customFormat="1">
      <c r="B84" s="2687"/>
      <c r="C84" s="2687"/>
      <c r="D84" s="2687"/>
      <c r="E84" s="2687"/>
      <c r="F84" s="2687"/>
      <c r="G84" s="2688"/>
      <c r="H84" s="2687"/>
      <c r="I84" s="2688"/>
      <c r="J84" s="2687"/>
      <c r="K84" s="2687"/>
      <c r="L84" s="2688"/>
      <c r="M84" s="2687"/>
      <c r="N84" s="2687"/>
      <c r="O84" s="2688"/>
      <c r="P84" s="2687"/>
      <c r="Q84" s="2687"/>
      <c r="R84" s="2689"/>
    </row>
    <row r="85" spans="2:18" s="907" customFormat="1">
      <c r="B85" s="2687"/>
      <c r="C85" s="2687"/>
      <c r="D85" s="2687"/>
      <c r="E85" s="2687"/>
      <c r="F85" s="2687"/>
      <c r="G85" s="2688"/>
      <c r="H85" s="2687"/>
      <c r="I85" s="2688"/>
      <c r="J85" s="2687"/>
      <c r="K85" s="2687"/>
      <c r="L85" s="2688"/>
      <c r="M85" s="2687"/>
      <c r="N85" s="2687"/>
      <c r="O85" s="2688"/>
      <c r="P85" s="2687"/>
      <c r="Q85" s="2687"/>
      <c r="R85" s="2689"/>
    </row>
    <row r="86" spans="2:18" s="907" customFormat="1">
      <c r="B86" s="2687"/>
      <c r="C86" s="2687"/>
      <c r="D86" s="2687"/>
      <c r="E86" s="2687"/>
      <c r="F86" s="2687"/>
      <c r="G86" s="2688"/>
      <c r="H86" s="2687"/>
      <c r="I86" s="2688"/>
      <c r="J86" s="2687"/>
      <c r="K86" s="2687"/>
      <c r="L86" s="2688"/>
      <c r="M86" s="2687"/>
      <c r="N86" s="2687"/>
      <c r="O86" s="2688"/>
      <c r="P86" s="2687"/>
      <c r="Q86" s="2687"/>
      <c r="R86" s="2689"/>
    </row>
    <row r="87" spans="2:18" s="907" customFormat="1">
      <c r="B87" s="2687"/>
      <c r="C87" s="2687"/>
      <c r="D87" s="2687"/>
      <c r="E87" s="2687"/>
      <c r="F87" s="2687"/>
      <c r="G87" s="2688"/>
      <c r="H87" s="2687"/>
      <c r="I87" s="2688"/>
      <c r="J87" s="2687"/>
      <c r="K87" s="2687"/>
      <c r="L87" s="2688"/>
      <c r="M87" s="2687"/>
      <c r="N87" s="2687"/>
      <c r="O87" s="2688"/>
      <c r="P87" s="2687"/>
      <c r="Q87" s="2687"/>
      <c r="R87" s="2689"/>
    </row>
    <row r="88" spans="2:18" s="907" customFormat="1">
      <c r="B88" s="2687"/>
      <c r="C88" s="2687"/>
      <c r="D88" s="2687"/>
      <c r="E88" s="2687"/>
      <c r="F88" s="2687"/>
      <c r="G88" s="2688"/>
      <c r="H88" s="2687"/>
      <c r="I88" s="2688"/>
      <c r="J88" s="2687"/>
      <c r="K88" s="2687"/>
      <c r="L88" s="2688"/>
      <c r="M88" s="2687"/>
      <c r="N88" s="2687"/>
      <c r="O88" s="2688"/>
      <c r="P88" s="2687"/>
      <c r="Q88" s="2687"/>
      <c r="R88" s="2689"/>
    </row>
    <row r="89" spans="2:18" s="907" customFormat="1">
      <c r="B89" s="2687"/>
      <c r="C89" s="2687"/>
      <c r="D89" s="2687"/>
      <c r="E89" s="2687"/>
      <c r="F89" s="2687"/>
      <c r="G89" s="2688"/>
      <c r="H89" s="2687"/>
      <c r="I89" s="2688"/>
      <c r="J89" s="2687"/>
      <c r="K89" s="2687"/>
      <c r="L89" s="2688"/>
      <c r="M89" s="2687"/>
      <c r="N89" s="2687"/>
      <c r="O89" s="2688"/>
      <c r="P89" s="2687"/>
      <c r="Q89" s="2687"/>
      <c r="R89" s="2689"/>
    </row>
    <row r="90" spans="2:18" s="907" customFormat="1">
      <c r="B90" s="2687"/>
      <c r="C90" s="2687"/>
      <c r="D90" s="2687"/>
      <c r="E90" s="2687"/>
      <c r="F90" s="2687"/>
      <c r="G90" s="2688"/>
      <c r="H90" s="2687"/>
      <c r="I90" s="2688"/>
      <c r="J90" s="2687"/>
      <c r="K90" s="2687"/>
      <c r="L90" s="2688"/>
      <c r="M90" s="2687"/>
      <c r="N90" s="2687"/>
      <c r="O90" s="2688"/>
      <c r="P90" s="2687"/>
      <c r="Q90" s="2687"/>
      <c r="R90" s="2689"/>
    </row>
    <row r="91" spans="2:18" s="907" customFormat="1">
      <c r="B91" s="2687"/>
      <c r="C91" s="2687"/>
      <c r="D91" s="2687"/>
      <c r="E91" s="2687"/>
      <c r="F91" s="2687"/>
      <c r="G91" s="2688"/>
      <c r="H91" s="2687"/>
      <c r="I91" s="2688"/>
      <c r="J91" s="2687"/>
      <c r="K91" s="2687"/>
      <c r="L91" s="2688"/>
      <c r="M91" s="2687"/>
      <c r="N91" s="2687"/>
      <c r="O91" s="2688"/>
      <c r="P91" s="2687"/>
      <c r="Q91" s="2687"/>
      <c r="R91" s="2689"/>
    </row>
    <row r="92" spans="2:18" s="907" customFormat="1">
      <c r="B92" s="2687"/>
      <c r="C92" s="2687"/>
      <c r="D92" s="2687"/>
      <c r="E92" s="2687"/>
      <c r="F92" s="2687"/>
      <c r="G92" s="2688"/>
      <c r="H92" s="2687"/>
      <c r="I92" s="2688"/>
      <c r="J92" s="2687"/>
      <c r="K92" s="2687"/>
      <c r="L92" s="2688"/>
      <c r="M92" s="2687"/>
      <c r="N92" s="2687"/>
      <c r="O92" s="2688"/>
      <c r="P92" s="2687"/>
      <c r="Q92" s="2687"/>
      <c r="R92" s="2689"/>
    </row>
    <row r="93" spans="2:18" s="907" customFormat="1">
      <c r="B93" s="2687"/>
      <c r="C93" s="2687"/>
      <c r="D93" s="2687"/>
      <c r="E93" s="2687"/>
      <c r="F93" s="2687"/>
      <c r="G93" s="2688"/>
      <c r="H93" s="2687"/>
      <c r="I93" s="2688"/>
      <c r="J93" s="2687"/>
      <c r="K93" s="2687"/>
      <c r="L93" s="2688"/>
      <c r="M93" s="2687"/>
      <c r="N93" s="2687"/>
      <c r="O93" s="2688"/>
      <c r="P93" s="2687"/>
      <c r="Q93" s="2687"/>
      <c r="R93" s="2689"/>
    </row>
    <row r="94" spans="2:18" s="907" customFormat="1">
      <c r="B94" s="2687"/>
      <c r="C94" s="2687"/>
      <c r="D94" s="2687"/>
      <c r="E94" s="2687"/>
      <c r="F94" s="2687"/>
      <c r="G94" s="2688"/>
      <c r="H94" s="2687"/>
      <c r="I94" s="2688"/>
      <c r="J94" s="2687"/>
      <c r="K94" s="2687"/>
      <c r="L94" s="2688"/>
      <c r="M94" s="2687"/>
      <c r="N94" s="2687"/>
      <c r="O94" s="2688"/>
      <c r="P94" s="2687"/>
      <c r="Q94" s="2687"/>
      <c r="R94" s="2689"/>
    </row>
    <row r="95" spans="2:18" s="907" customFormat="1">
      <c r="B95" s="2687"/>
      <c r="C95" s="2687"/>
      <c r="D95" s="2687"/>
      <c r="E95" s="2687"/>
      <c r="F95" s="2687"/>
      <c r="G95" s="2688"/>
      <c r="H95" s="2687"/>
      <c r="I95" s="2688"/>
      <c r="J95" s="2687"/>
      <c r="K95" s="2687"/>
      <c r="L95" s="2688"/>
      <c r="M95" s="2687"/>
      <c r="N95" s="2687"/>
      <c r="O95" s="2688"/>
      <c r="P95" s="2687"/>
      <c r="Q95" s="2687"/>
      <c r="R95" s="2689"/>
    </row>
    <row r="96" spans="2:18" s="907" customFormat="1">
      <c r="B96" s="2687"/>
      <c r="C96" s="2687"/>
      <c r="D96" s="2687"/>
      <c r="E96" s="2687"/>
      <c r="F96" s="2687"/>
      <c r="G96" s="2688"/>
      <c r="H96" s="2687"/>
      <c r="I96" s="2688"/>
      <c r="J96" s="2687"/>
      <c r="K96" s="2687"/>
      <c r="L96" s="2688"/>
      <c r="M96" s="2687"/>
      <c r="N96" s="2687"/>
      <c r="O96" s="2688"/>
      <c r="P96" s="2687"/>
      <c r="Q96" s="2687"/>
      <c r="R96" s="2689"/>
    </row>
    <row r="97" spans="2:18" s="907" customFormat="1">
      <c r="B97" s="2687"/>
      <c r="C97" s="2687"/>
      <c r="D97" s="2687"/>
      <c r="E97" s="2687"/>
      <c r="F97" s="2687"/>
      <c r="G97" s="2688"/>
      <c r="H97" s="2687"/>
      <c r="I97" s="2688"/>
      <c r="J97" s="2687"/>
      <c r="K97" s="2687"/>
      <c r="L97" s="2688"/>
      <c r="M97" s="2687"/>
      <c r="N97" s="2687"/>
      <c r="O97" s="2688"/>
      <c r="P97" s="2687"/>
      <c r="Q97" s="2687"/>
      <c r="R97" s="2689"/>
    </row>
    <row r="98" spans="2:18" s="907" customFormat="1">
      <c r="B98" s="2687"/>
      <c r="C98" s="2687"/>
      <c r="D98" s="2687"/>
      <c r="E98" s="2687"/>
      <c r="F98" s="2687"/>
      <c r="G98" s="2688"/>
      <c r="H98" s="2687"/>
      <c r="I98" s="2688"/>
      <c r="J98" s="2687"/>
      <c r="K98" s="2687"/>
      <c r="L98" s="2688"/>
      <c r="M98" s="2687"/>
      <c r="N98" s="2687"/>
      <c r="O98" s="2688"/>
      <c r="P98" s="2687"/>
      <c r="Q98" s="2687"/>
      <c r="R98" s="2689"/>
    </row>
    <row r="99" spans="2:18" s="907" customFormat="1">
      <c r="B99" s="2687"/>
      <c r="C99" s="2687"/>
      <c r="D99" s="2687"/>
      <c r="E99" s="2687"/>
      <c r="F99" s="2687"/>
      <c r="G99" s="2688"/>
      <c r="H99" s="2687"/>
      <c r="I99" s="2688"/>
      <c r="J99" s="2687"/>
      <c r="K99" s="2687"/>
      <c r="L99" s="2688"/>
      <c r="M99" s="2687"/>
      <c r="N99" s="2687"/>
      <c r="O99" s="2688"/>
      <c r="P99" s="2687"/>
      <c r="Q99" s="2687"/>
      <c r="R99" s="2689"/>
    </row>
    <row r="100" spans="2:18" s="907" customFormat="1">
      <c r="B100" s="2687"/>
      <c r="C100" s="2687"/>
      <c r="D100" s="2687"/>
      <c r="E100" s="2687"/>
      <c r="F100" s="2687"/>
      <c r="G100" s="2688"/>
      <c r="H100" s="2687"/>
      <c r="I100" s="2688"/>
      <c r="J100" s="2687"/>
      <c r="K100" s="2687"/>
      <c r="L100" s="2688"/>
      <c r="M100" s="2687"/>
      <c r="N100" s="2687"/>
      <c r="O100" s="2688"/>
      <c r="P100" s="2687"/>
      <c r="Q100" s="2687"/>
      <c r="R100" s="2689"/>
    </row>
    <row r="101" spans="2:18" s="907" customFormat="1">
      <c r="B101" s="2687"/>
      <c r="C101" s="2687"/>
      <c r="D101" s="2687"/>
      <c r="E101" s="2687"/>
      <c r="F101" s="2687"/>
      <c r="G101" s="2688"/>
      <c r="H101" s="2687"/>
      <c r="I101" s="2688"/>
      <c r="J101" s="2687"/>
      <c r="K101" s="2687"/>
      <c r="L101" s="2688"/>
      <c r="M101" s="2687"/>
      <c r="N101" s="2687"/>
      <c r="O101" s="2688"/>
      <c r="P101" s="2687"/>
      <c r="Q101" s="2687"/>
      <c r="R101" s="2689"/>
    </row>
    <row r="102" spans="2:18" s="907" customFormat="1">
      <c r="B102" s="2687"/>
      <c r="C102" s="2687"/>
      <c r="D102" s="2687"/>
      <c r="E102" s="2687"/>
      <c r="F102" s="2687"/>
      <c r="G102" s="2688"/>
      <c r="H102" s="2687"/>
      <c r="I102" s="2688"/>
      <c r="J102" s="2687"/>
      <c r="K102" s="2687"/>
      <c r="L102" s="2688"/>
      <c r="M102" s="2687"/>
      <c r="N102" s="2687"/>
      <c r="O102" s="2688"/>
      <c r="P102" s="2687"/>
      <c r="Q102" s="2687"/>
      <c r="R102" s="2689"/>
    </row>
    <row r="103" spans="2:18" s="907" customFormat="1">
      <c r="B103" s="2687"/>
      <c r="C103" s="2687"/>
      <c r="D103" s="2687"/>
      <c r="E103" s="2687"/>
      <c r="F103" s="2687"/>
      <c r="G103" s="2688"/>
      <c r="H103" s="2687"/>
      <c r="I103" s="2688"/>
      <c r="J103" s="2687"/>
      <c r="K103" s="2687"/>
      <c r="L103" s="2688"/>
      <c r="M103" s="2687"/>
      <c r="N103" s="2687"/>
      <c r="O103" s="2688"/>
      <c r="P103" s="2687"/>
      <c r="Q103" s="2687"/>
      <c r="R103" s="2689"/>
    </row>
    <row r="104" spans="2:18" s="907" customFormat="1">
      <c r="B104" s="2687"/>
      <c r="C104" s="2687"/>
      <c r="D104" s="2687"/>
      <c r="E104" s="2687"/>
      <c r="F104" s="2687"/>
      <c r="G104" s="2688"/>
      <c r="H104" s="2687"/>
      <c r="I104" s="2688"/>
      <c r="J104" s="2687"/>
      <c r="K104" s="2687"/>
      <c r="L104" s="2688"/>
      <c r="M104" s="2687"/>
      <c r="N104" s="2687"/>
      <c r="O104" s="2688"/>
      <c r="P104" s="2687"/>
      <c r="Q104" s="2687"/>
      <c r="R104" s="2689"/>
    </row>
    <row r="105" spans="2:18" s="907" customFormat="1">
      <c r="B105" s="2687"/>
      <c r="C105" s="2687"/>
      <c r="D105" s="2687"/>
      <c r="E105" s="2687"/>
      <c r="F105" s="2687"/>
      <c r="G105" s="2688"/>
      <c r="H105" s="2687"/>
      <c r="I105" s="2688"/>
      <c r="J105" s="2687"/>
      <c r="K105" s="2687"/>
      <c r="L105" s="2688"/>
      <c r="M105" s="2687"/>
      <c r="N105" s="2687"/>
      <c r="O105" s="2688"/>
      <c r="P105" s="2687"/>
      <c r="Q105" s="2687"/>
      <c r="R105" s="2689"/>
    </row>
    <row r="106" spans="2:18" s="907" customFormat="1">
      <c r="B106" s="2687"/>
      <c r="C106" s="2687"/>
      <c r="D106" s="2687"/>
      <c r="E106" s="2687"/>
      <c r="F106" s="2687"/>
      <c r="G106" s="2688"/>
      <c r="H106" s="2687"/>
      <c r="I106" s="2688"/>
      <c r="J106" s="2687"/>
      <c r="K106" s="2687"/>
      <c r="L106" s="2688"/>
      <c r="M106" s="2687"/>
      <c r="N106" s="2687"/>
      <c r="O106" s="2688"/>
      <c r="P106" s="2687"/>
      <c r="Q106" s="2687"/>
      <c r="R106" s="2689"/>
    </row>
    <row r="107" spans="2:18" s="907" customFormat="1">
      <c r="B107" s="2687"/>
      <c r="C107" s="2687"/>
      <c r="D107" s="2687"/>
      <c r="E107" s="2687"/>
      <c r="F107" s="2687"/>
      <c r="G107" s="2688"/>
      <c r="H107" s="2687"/>
      <c r="I107" s="2688"/>
      <c r="J107" s="2687"/>
      <c r="K107" s="2687"/>
      <c r="L107" s="2688"/>
      <c r="M107" s="2687"/>
      <c r="N107" s="2687"/>
      <c r="O107" s="2688"/>
      <c r="P107" s="2687"/>
      <c r="Q107" s="2687"/>
      <c r="R107" s="2689"/>
    </row>
    <row r="108" spans="2:18" s="907" customFormat="1">
      <c r="B108" s="2687"/>
      <c r="C108" s="2687"/>
      <c r="D108" s="2687"/>
      <c r="E108" s="2687"/>
      <c r="F108" s="2687"/>
      <c r="G108" s="2688"/>
      <c r="H108" s="2687"/>
      <c r="I108" s="2688"/>
      <c r="J108" s="2687"/>
      <c r="K108" s="2687"/>
      <c r="L108" s="2688"/>
      <c r="M108" s="2687"/>
      <c r="N108" s="2687"/>
      <c r="O108" s="2688"/>
      <c r="P108" s="2687"/>
      <c r="Q108" s="2687"/>
      <c r="R108" s="2689"/>
    </row>
    <row r="109" spans="2:18" s="907" customFormat="1">
      <c r="B109" s="2687"/>
      <c r="C109" s="2687"/>
      <c r="D109" s="2687"/>
      <c r="E109" s="2687"/>
      <c r="F109" s="2687"/>
      <c r="G109" s="2688"/>
      <c r="H109" s="2687"/>
      <c r="I109" s="2688"/>
      <c r="J109" s="2687"/>
      <c r="K109" s="2687"/>
      <c r="L109" s="2688"/>
      <c r="M109" s="2687"/>
      <c r="N109" s="2687"/>
      <c r="O109" s="2688"/>
      <c r="P109" s="2687"/>
      <c r="Q109" s="2687"/>
      <c r="R109" s="2689"/>
    </row>
    <row r="110" spans="2:18" s="907" customFormat="1">
      <c r="B110" s="2687"/>
      <c r="C110" s="2687"/>
      <c r="D110" s="2687"/>
      <c r="E110" s="2687"/>
      <c r="F110" s="2687"/>
      <c r="G110" s="2688"/>
      <c r="H110" s="2687"/>
      <c r="I110" s="2688"/>
      <c r="J110" s="2687"/>
      <c r="K110" s="2687"/>
      <c r="L110" s="2688"/>
      <c r="M110" s="2687"/>
      <c r="N110" s="2687"/>
      <c r="O110" s="2688"/>
      <c r="P110" s="2687"/>
      <c r="Q110" s="2687"/>
      <c r="R110" s="2689"/>
    </row>
    <row r="111" spans="2:18" s="907" customFormat="1">
      <c r="B111" s="2687"/>
      <c r="C111" s="2687"/>
      <c r="D111" s="2687"/>
      <c r="E111" s="2687"/>
      <c r="F111" s="2687"/>
      <c r="G111" s="2688"/>
      <c r="H111" s="2687"/>
      <c r="I111" s="2688"/>
      <c r="J111" s="2687"/>
      <c r="K111" s="2687"/>
      <c r="L111" s="2688"/>
      <c r="M111" s="2687"/>
      <c r="N111" s="2687"/>
      <c r="O111" s="2688"/>
      <c r="P111" s="2687"/>
      <c r="Q111" s="2687"/>
      <c r="R111" s="2689"/>
    </row>
    <row r="112" spans="2:18" s="907" customFormat="1">
      <c r="B112" s="2687"/>
      <c r="C112" s="2687"/>
      <c r="D112" s="2687"/>
      <c r="E112" s="2687"/>
      <c r="F112" s="2687"/>
      <c r="G112" s="2688"/>
      <c r="H112" s="2687"/>
      <c r="I112" s="2688"/>
      <c r="J112" s="2687"/>
      <c r="K112" s="2687"/>
      <c r="L112" s="2688"/>
      <c r="M112" s="2687"/>
      <c r="N112" s="2687"/>
      <c r="O112" s="2688"/>
      <c r="P112" s="2687"/>
      <c r="Q112" s="2687"/>
      <c r="R112" s="2689"/>
    </row>
    <row r="113" spans="2:18" s="907" customFormat="1">
      <c r="B113" s="2687"/>
      <c r="C113" s="2687"/>
      <c r="D113" s="2687"/>
      <c r="E113" s="2687"/>
      <c r="F113" s="2687"/>
      <c r="G113" s="2688"/>
      <c r="H113" s="2687"/>
      <c r="I113" s="2688"/>
      <c r="J113" s="2687"/>
      <c r="K113" s="2687"/>
      <c r="L113" s="2688"/>
      <c r="M113" s="2687"/>
      <c r="N113" s="2687"/>
      <c r="O113" s="2688"/>
      <c r="P113" s="2687"/>
      <c r="Q113" s="2687"/>
      <c r="R113" s="2689"/>
    </row>
    <row r="114" spans="2:18" s="907" customFormat="1">
      <c r="B114" s="2687"/>
      <c r="C114" s="2687"/>
      <c r="D114" s="2687"/>
      <c r="E114" s="2687"/>
      <c r="F114" s="2687"/>
      <c r="G114" s="2688"/>
      <c r="H114" s="2687"/>
      <c r="I114" s="2688"/>
      <c r="J114" s="2687"/>
      <c r="K114" s="2687"/>
      <c r="L114" s="2688"/>
      <c r="M114" s="2687"/>
      <c r="N114" s="2687"/>
      <c r="O114" s="2688"/>
      <c r="P114" s="2687"/>
      <c r="Q114" s="2687"/>
      <c r="R114" s="2689"/>
    </row>
    <row r="115" spans="2:18" s="907" customFormat="1">
      <c r="B115" s="2687"/>
      <c r="C115" s="2687"/>
      <c r="D115" s="2687"/>
      <c r="E115" s="2687"/>
      <c r="F115" s="2687"/>
      <c r="G115" s="2688"/>
      <c r="H115" s="2687"/>
      <c r="I115" s="2688"/>
      <c r="J115" s="2687"/>
      <c r="K115" s="2687"/>
      <c r="L115" s="2688"/>
      <c r="M115" s="2687"/>
      <c r="N115" s="2687"/>
      <c r="O115" s="2688"/>
      <c r="P115" s="2687"/>
      <c r="Q115" s="2687"/>
      <c r="R115" s="2689"/>
    </row>
    <row r="116" spans="2:18" s="907" customFormat="1">
      <c r="B116" s="2687"/>
      <c r="C116" s="2687"/>
      <c r="D116" s="2687"/>
      <c r="E116" s="2687"/>
      <c r="F116" s="2687"/>
      <c r="G116" s="2688"/>
      <c r="H116" s="2687"/>
      <c r="I116" s="2688"/>
      <c r="J116" s="2687"/>
      <c r="K116" s="2687"/>
      <c r="L116" s="2688"/>
      <c r="M116" s="2687"/>
      <c r="N116" s="2687"/>
      <c r="O116" s="2688"/>
      <c r="P116" s="2687"/>
      <c r="Q116" s="2687"/>
      <c r="R116" s="2689"/>
    </row>
    <row r="117" spans="2:18" s="907" customFormat="1">
      <c r="B117" s="2687"/>
      <c r="C117" s="2687"/>
      <c r="D117" s="2687"/>
      <c r="E117" s="2687"/>
      <c r="F117" s="2687"/>
      <c r="G117" s="2688"/>
      <c r="H117" s="2687"/>
      <c r="I117" s="2688"/>
      <c r="J117" s="2687"/>
      <c r="K117" s="2687"/>
      <c r="L117" s="2688"/>
      <c r="M117" s="2687"/>
      <c r="N117" s="2687"/>
      <c r="O117" s="2688"/>
      <c r="P117" s="2687"/>
      <c r="Q117" s="2687"/>
      <c r="R117" s="2689"/>
    </row>
    <row r="118" spans="2:18" s="907" customFormat="1">
      <c r="B118" s="2687"/>
      <c r="C118" s="2687"/>
      <c r="D118" s="2687"/>
      <c r="E118" s="2687"/>
      <c r="F118" s="2687"/>
      <c r="G118" s="2688"/>
      <c r="H118" s="2687"/>
      <c r="I118" s="2688"/>
      <c r="J118" s="2687"/>
      <c r="K118" s="2687"/>
      <c r="L118" s="2688"/>
      <c r="M118" s="2687"/>
      <c r="N118" s="2687"/>
      <c r="O118" s="2688"/>
      <c r="P118" s="2687"/>
      <c r="Q118" s="2687"/>
      <c r="R118" s="2689"/>
    </row>
    <row r="119" spans="2:18" s="907" customFormat="1">
      <c r="B119" s="2687"/>
      <c r="C119" s="2687"/>
      <c r="D119" s="2687"/>
      <c r="E119" s="2687"/>
      <c r="F119" s="2687"/>
      <c r="G119" s="2688"/>
      <c r="H119" s="2687"/>
      <c r="I119" s="2688"/>
      <c r="J119" s="2687"/>
      <c r="K119" s="2687"/>
      <c r="L119" s="2688"/>
      <c r="M119" s="2687"/>
      <c r="N119" s="2687"/>
      <c r="O119" s="2688"/>
      <c r="P119" s="2687"/>
      <c r="Q119" s="2687"/>
      <c r="R119" s="2689"/>
    </row>
    <row r="120" spans="2:18" s="907" customFormat="1">
      <c r="B120" s="2687"/>
      <c r="C120" s="2687"/>
      <c r="D120" s="2687"/>
      <c r="E120" s="2687"/>
      <c r="F120" s="2687"/>
      <c r="G120" s="2688"/>
      <c r="H120" s="2687"/>
      <c r="I120" s="2688"/>
      <c r="J120" s="2687"/>
      <c r="K120" s="2687"/>
      <c r="L120" s="2688"/>
      <c r="M120" s="2687"/>
      <c r="N120" s="2687"/>
      <c r="O120" s="2688"/>
      <c r="P120" s="2687"/>
      <c r="Q120" s="2687"/>
      <c r="R120" s="2689"/>
    </row>
    <row r="121" spans="2:18" s="907" customFormat="1">
      <c r="B121" s="2687"/>
      <c r="C121" s="2687"/>
      <c r="D121" s="2687"/>
      <c r="E121" s="2687"/>
      <c r="F121" s="2687"/>
      <c r="G121" s="2688"/>
      <c r="H121" s="2687"/>
      <c r="I121" s="2688"/>
      <c r="J121" s="2687"/>
      <c r="K121" s="2687"/>
      <c r="L121" s="2688"/>
      <c r="M121" s="2687"/>
      <c r="N121" s="2687"/>
      <c r="O121" s="2688"/>
      <c r="P121" s="2687"/>
      <c r="Q121" s="2687"/>
      <c r="R121" s="2689"/>
    </row>
    <row r="122" spans="2:18" s="907" customFormat="1">
      <c r="B122" s="2687"/>
      <c r="C122" s="2687"/>
      <c r="D122" s="2687"/>
      <c r="E122" s="2687"/>
      <c r="F122" s="2687"/>
      <c r="G122" s="2688"/>
      <c r="H122" s="2687"/>
      <c r="I122" s="2688"/>
      <c r="J122" s="2687"/>
      <c r="K122" s="2687"/>
      <c r="L122" s="2688"/>
      <c r="M122" s="2687"/>
      <c r="N122" s="2687"/>
      <c r="O122" s="2688"/>
      <c r="P122" s="2687"/>
      <c r="Q122" s="2687"/>
      <c r="R122" s="2689"/>
    </row>
    <row r="123" spans="2:18" s="907" customFormat="1">
      <c r="B123" s="2687"/>
      <c r="C123" s="2687"/>
      <c r="D123" s="2687"/>
      <c r="E123" s="2687"/>
      <c r="F123" s="2687"/>
      <c r="G123" s="2688"/>
      <c r="H123" s="2687"/>
      <c r="I123" s="2688"/>
      <c r="J123" s="2687"/>
      <c r="K123" s="2687"/>
      <c r="L123" s="2688"/>
      <c r="M123" s="2687"/>
      <c r="N123" s="2687"/>
      <c r="O123" s="2688"/>
      <c r="P123" s="2687"/>
      <c r="Q123" s="2687"/>
      <c r="R123" s="2689"/>
    </row>
    <row r="124" spans="2:18" s="907" customFormat="1">
      <c r="B124" s="2687"/>
      <c r="C124" s="2687"/>
      <c r="D124" s="2687"/>
      <c r="E124" s="2687"/>
      <c r="F124" s="2687"/>
      <c r="G124" s="2688"/>
      <c r="H124" s="2687"/>
      <c r="I124" s="2688"/>
      <c r="J124" s="2687"/>
      <c r="K124" s="2687"/>
      <c r="L124" s="2688"/>
      <c r="M124" s="2687"/>
      <c r="N124" s="2687"/>
      <c r="O124" s="2688"/>
      <c r="P124" s="2687"/>
      <c r="Q124" s="2687"/>
      <c r="R124" s="2689"/>
    </row>
    <row r="125" spans="2:18" s="907" customFormat="1">
      <c r="B125" s="2687"/>
      <c r="C125" s="2687"/>
      <c r="D125" s="2687"/>
      <c r="E125" s="2687"/>
      <c r="F125" s="2687"/>
      <c r="G125" s="2688"/>
      <c r="H125" s="2687"/>
      <c r="I125" s="2688"/>
      <c r="J125" s="2687"/>
      <c r="K125" s="2687"/>
      <c r="L125" s="2688"/>
      <c r="M125" s="2687"/>
      <c r="N125" s="2687"/>
      <c r="O125" s="2688"/>
      <c r="P125" s="2687"/>
      <c r="Q125" s="2687"/>
      <c r="R125" s="2689"/>
    </row>
    <row r="126" spans="2:18" s="907" customFormat="1">
      <c r="B126" s="2687"/>
      <c r="C126" s="2687"/>
      <c r="D126" s="2687"/>
      <c r="E126" s="2687"/>
      <c r="F126" s="2687"/>
      <c r="G126" s="2688"/>
      <c r="H126" s="2687"/>
      <c r="I126" s="2688"/>
      <c r="J126" s="2687"/>
      <c r="K126" s="2687"/>
      <c r="L126" s="2688"/>
      <c r="M126" s="2687"/>
      <c r="N126" s="2687"/>
      <c r="O126" s="2688"/>
      <c r="P126" s="2687"/>
      <c r="Q126" s="2687"/>
      <c r="R126" s="2689"/>
    </row>
    <row r="127" spans="2:18" s="907" customFormat="1">
      <c r="B127" s="2687"/>
      <c r="C127" s="2687"/>
      <c r="D127" s="2687"/>
      <c r="E127" s="2687"/>
      <c r="F127" s="2687"/>
      <c r="G127" s="2688"/>
      <c r="H127" s="2687"/>
      <c r="I127" s="2688"/>
      <c r="J127" s="2687"/>
      <c r="K127" s="2687"/>
      <c r="L127" s="2688"/>
      <c r="M127" s="2687"/>
      <c r="N127" s="2687"/>
      <c r="O127" s="2688"/>
      <c r="P127" s="2687"/>
      <c r="Q127" s="2687"/>
      <c r="R127" s="2689"/>
    </row>
    <row r="128" spans="2:18" s="907" customFormat="1">
      <c r="B128" s="2687"/>
      <c r="C128" s="2687"/>
      <c r="D128" s="2687"/>
      <c r="E128" s="2687"/>
      <c r="F128" s="2687"/>
      <c r="G128" s="2688"/>
      <c r="H128" s="2687"/>
      <c r="I128" s="2688"/>
      <c r="J128" s="2687"/>
      <c r="K128" s="2687"/>
      <c r="L128" s="2688"/>
      <c r="M128" s="2687"/>
      <c r="N128" s="2687"/>
      <c r="O128" s="2688"/>
      <c r="P128" s="2687"/>
      <c r="Q128" s="2687"/>
      <c r="R128" s="2689"/>
    </row>
    <row r="129" spans="2:18" s="907" customFormat="1">
      <c r="B129" s="2687"/>
      <c r="C129" s="2687"/>
      <c r="D129" s="2687"/>
      <c r="E129" s="2687"/>
      <c r="F129" s="2687"/>
      <c r="G129" s="2688"/>
      <c r="H129" s="2687"/>
      <c r="I129" s="2688"/>
      <c r="J129" s="2687"/>
      <c r="K129" s="2687"/>
      <c r="L129" s="2688"/>
      <c r="M129" s="2687"/>
      <c r="N129" s="2687"/>
      <c r="O129" s="2688"/>
      <c r="P129" s="2687"/>
      <c r="Q129" s="2687"/>
      <c r="R129" s="2689"/>
    </row>
    <row r="130" spans="2:18" s="907" customFormat="1">
      <c r="B130" s="2687"/>
      <c r="C130" s="2687"/>
      <c r="D130" s="2687"/>
      <c r="E130" s="2687"/>
      <c r="F130" s="2687"/>
      <c r="G130" s="2688"/>
      <c r="H130" s="2687"/>
      <c r="I130" s="2688"/>
      <c r="J130" s="2687"/>
      <c r="K130" s="2687"/>
      <c r="L130" s="2688"/>
      <c r="M130" s="2687"/>
      <c r="N130" s="2687"/>
      <c r="O130" s="2688"/>
      <c r="P130" s="2687"/>
      <c r="Q130" s="2687"/>
      <c r="R130" s="2689"/>
    </row>
    <row r="131" spans="2:18" s="907" customFormat="1">
      <c r="B131" s="2687"/>
      <c r="C131" s="2687"/>
      <c r="D131" s="2687"/>
      <c r="E131" s="2687"/>
      <c r="F131" s="2687"/>
      <c r="G131" s="2688"/>
      <c r="H131" s="2687"/>
      <c r="I131" s="2688"/>
      <c r="J131" s="2687"/>
      <c r="K131" s="2687"/>
      <c r="L131" s="2688"/>
      <c r="M131" s="2687"/>
      <c r="N131" s="2687"/>
      <c r="O131" s="2688"/>
      <c r="P131" s="2687"/>
      <c r="Q131" s="2687"/>
      <c r="R131" s="2689"/>
    </row>
    <row r="132" spans="2:18" s="907" customFormat="1">
      <c r="B132" s="2687"/>
      <c r="C132" s="2687"/>
      <c r="D132" s="2687"/>
      <c r="E132" s="2687"/>
      <c r="F132" s="2687"/>
      <c r="G132" s="2688"/>
      <c r="H132" s="2687"/>
      <c r="I132" s="2688"/>
      <c r="J132" s="2687"/>
      <c r="K132" s="2687"/>
      <c r="L132" s="2688"/>
      <c r="M132" s="2687"/>
      <c r="N132" s="2687"/>
      <c r="O132" s="2688"/>
      <c r="P132" s="2687"/>
      <c r="Q132" s="2687"/>
      <c r="R132" s="2689"/>
    </row>
    <row r="133" spans="2:18" s="907" customFormat="1">
      <c r="B133" s="2687"/>
      <c r="C133" s="2687"/>
      <c r="D133" s="2687"/>
      <c r="E133" s="2687"/>
      <c r="F133" s="2687"/>
      <c r="G133" s="2688"/>
      <c r="H133" s="2687"/>
      <c r="I133" s="2688"/>
      <c r="J133" s="2687"/>
      <c r="K133" s="2687"/>
      <c r="L133" s="2688"/>
      <c r="M133" s="2687"/>
      <c r="N133" s="2687"/>
      <c r="O133" s="2688"/>
      <c r="P133" s="2687"/>
      <c r="Q133" s="2687"/>
      <c r="R133" s="2689"/>
    </row>
    <row r="134" spans="2:18" s="907" customFormat="1">
      <c r="B134" s="2687"/>
      <c r="C134" s="2687"/>
      <c r="D134" s="2687"/>
      <c r="E134" s="2687"/>
      <c r="F134" s="2687"/>
      <c r="G134" s="2688"/>
      <c r="H134" s="2687"/>
      <c r="I134" s="2688"/>
      <c r="J134" s="2687"/>
      <c r="K134" s="2687"/>
      <c r="L134" s="2688"/>
      <c r="M134" s="2687"/>
      <c r="N134" s="2687"/>
      <c r="O134" s="2688"/>
      <c r="P134" s="2687"/>
      <c r="Q134" s="2687"/>
      <c r="R134" s="2689"/>
    </row>
    <row r="135" spans="2:18" s="907" customFormat="1">
      <c r="B135" s="2687"/>
      <c r="C135" s="2687"/>
      <c r="D135" s="2687"/>
      <c r="E135" s="2687"/>
      <c r="F135" s="2687"/>
      <c r="G135" s="2688"/>
      <c r="H135" s="2687"/>
      <c r="I135" s="2688"/>
      <c r="J135" s="2687"/>
      <c r="K135" s="2687"/>
      <c r="L135" s="2688"/>
      <c r="M135" s="2687"/>
      <c r="N135" s="2687"/>
      <c r="O135" s="2688"/>
      <c r="P135" s="2687"/>
      <c r="Q135" s="2687"/>
      <c r="R135" s="2689"/>
    </row>
    <row r="136" spans="2:18" s="907" customFormat="1">
      <c r="B136" s="2687"/>
      <c r="C136" s="2687"/>
      <c r="D136" s="2687"/>
      <c r="E136" s="2687"/>
      <c r="F136" s="2687"/>
      <c r="G136" s="2688"/>
      <c r="H136" s="2687"/>
      <c r="I136" s="2688"/>
      <c r="J136" s="2687"/>
      <c r="K136" s="2687"/>
      <c r="L136" s="2688"/>
      <c r="M136" s="2687"/>
      <c r="N136" s="2687"/>
      <c r="O136" s="2688"/>
      <c r="P136" s="2687"/>
      <c r="Q136" s="2687"/>
      <c r="R136" s="2689"/>
    </row>
    <row r="137" spans="2:18" s="907" customFormat="1">
      <c r="B137" s="2687"/>
      <c r="C137" s="2687"/>
      <c r="D137" s="2687"/>
      <c r="E137" s="2687"/>
      <c r="F137" s="2687"/>
      <c r="G137" s="2688"/>
      <c r="H137" s="2687"/>
      <c r="I137" s="2688"/>
      <c r="J137" s="2687"/>
      <c r="K137" s="2687"/>
      <c r="L137" s="2688"/>
      <c r="M137" s="2687"/>
      <c r="N137" s="2687"/>
      <c r="O137" s="2688"/>
      <c r="P137" s="2687"/>
      <c r="Q137" s="2687"/>
      <c r="R137" s="2689"/>
    </row>
    <row r="138" spans="2:18" s="907" customFormat="1">
      <c r="B138" s="2687"/>
      <c r="C138" s="2687"/>
      <c r="D138" s="2687"/>
      <c r="E138" s="2687"/>
      <c r="F138" s="2687"/>
      <c r="G138" s="2688"/>
      <c r="H138" s="2687"/>
      <c r="I138" s="2688"/>
      <c r="J138" s="2687"/>
      <c r="K138" s="2687"/>
      <c r="L138" s="2688"/>
      <c r="M138" s="2687"/>
      <c r="N138" s="2687"/>
      <c r="O138" s="2688"/>
      <c r="P138" s="2687"/>
      <c r="Q138" s="2687"/>
      <c r="R138" s="2689"/>
    </row>
    <row r="139" spans="2:18" s="907" customFormat="1">
      <c r="B139" s="2687"/>
      <c r="C139" s="2687"/>
      <c r="D139" s="2687"/>
      <c r="E139" s="2687"/>
      <c r="F139" s="2687"/>
      <c r="G139" s="2688"/>
      <c r="H139" s="2687"/>
      <c r="I139" s="2688"/>
      <c r="J139" s="2687"/>
      <c r="K139" s="2687"/>
      <c r="L139" s="2688"/>
      <c r="M139" s="2687"/>
      <c r="N139" s="2687"/>
      <c r="O139" s="2688"/>
      <c r="P139" s="2687"/>
      <c r="Q139" s="2687"/>
      <c r="R139" s="2689"/>
    </row>
    <row r="140" spans="2:18" s="907" customFormat="1">
      <c r="B140" s="2687"/>
      <c r="C140" s="2687"/>
      <c r="D140" s="2687"/>
      <c r="E140" s="2687"/>
      <c r="F140" s="2687"/>
      <c r="G140" s="2688"/>
      <c r="H140" s="2687"/>
      <c r="I140" s="2688"/>
      <c r="J140" s="2687"/>
      <c r="K140" s="2687"/>
      <c r="L140" s="2688"/>
      <c r="M140" s="2687"/>
      <c r="N140" s="2687"/>
      <c r="O140" s="2688"/>
      <c r="P140" s="2687"/>
      <c r="Q140" s="2687"/>
      <c r="R140" s="2689"/>
    </row>
    <row r="141" spans="2:18" s="907" customFormat="1">
      <c r="B141" s="2687"/>
      <c r="C141" s="2687"/>
      <c r="D141" s="2687"/>
      <c r="E141" s="2687"/>
      <c r="F141" s="2687"/>
      <c r="G141" s="2688"/>
      <c r="H141" s="2687"/>
      <c r="I141" s="2688"/>
      <c r="J141" s="2687"/>
      <c r="K141" s="2687"/>
      <c r="L141" s="2688"/>
      <c r="M141" s="2687"/>
      <c r="N141" s="2687"/>
      <c r="O141" s="2688"/>
      <c r="P141" s="2687"/>
      <c r="Q141" s="2687"/>
      <c r="R141" s="2689"/>
    </row>
    <row r="142" spans="2:18" s="907" customFormat="1">
      <c r="B142" s="2687"/>
      <c r="C142" s="2687"/>
      <c r="D142" s="2687"/>
      <c r="E142" s="2687"/>
      <c r="F142" s="2687"/>
      <c r="G142" s="2688"/>
      <c r="H142" s="2687"/>
      <c r="I142" s="2688"/>
      <c r="J142" s="2687"/>
      <c r="K142" s="2687"/>
      <c r="L142" s="2688"/>
      <c r="M142" s="2687"/>
      <c r="N142" s="2687"/>
      <c r="O142" s="2688"/>
      <c r="P142" s="2687"/>
      <c r="Q142" s="2687"/>
      <c r="R142" s="2689"/>
    </row>
    <row r="143" spans="2:18" s="907" customFormat="1">
      <c r="B143" s="2687"/>
      <c r="C143" s="2687"/>
      <c r="D143" s="2687"/>
      <c r="E143" s="2687"/>
      <c r="F143" s="2687"/>
      <c r="G143" s="2688"/>
      <c r="H143" s="2687"/>
      <c r="I143" s="2688"/>
      <c r="J143" s="2687"/>
      <c r="K143" s="2687"/>
      <c r="L143" s="2688"/>
      <c r="M143" s="2687"/>
      <c r="N143" s="2687"/>
      <c r="O143" s="2688"/>
      <c r="P143" s="2687"/>
      <c r="Q143" s="2687"/>
      <c r="R143" s="2689"/>
    </row>
    <row r="144" spans="2:18" s="907" customFormat="1">
      <c r="B144" s="2687"/>
      <c r="C144" s="2687"/>
      <c r="D144" s="2687"/>
      <c r="E144" s="2687"/>
      <c r="F144" s="2687"/>
      <c r="G144" s="2688"/>
      <c r="H144" s="2687"/>
      <c r="I144" s="2688"/>
      <c r="J144" s="2687"/>
      <c r="K144" s="2687"/>
      <c r="L144" s="2688"/>
      <c r="M144" s="2687"/>
      <c r="N144" s="2687"/>
      <c r="O144" s="2688"/>
      <c r="P144" s="2687"/>
      <c r="Q144" s="2687"/>
      <c r="R144" s="2689"/>
    </row>
    <row r="145" spans="2:18" s="907" customFormat="1">
      <c r="B145" s="2687"/>
      <c r="C145" s="2687"/>
      <c r="D145" s="2687"/>
      <c r="E145" s="2687"/>
      <c r="F145" s="2687"/>
      <c r="G145" s="2688"/>
      <c r="H145" s="2687"/>
      <c r="I145" s="2688"/>
      <c r="J145" s="2687"/>
      <c r="K145" s="2687"/>
      <c r="L145" s="2688"/>
      <c r="M145" s="2687"/>
      <c r="N145" s="2687"/>
      <c r="O145" s="2688"/>
      <c r="P145" s="2687"/>
      <c r="Q145" s="2687"/>
      <c r="R145" s="2689"/>
    </row>
    <row r="146" spans="2:18" s="907" customFormat="1">
      <c r="B146" s="2687"/>
      <c r="C146" s="2687"/>
      <c r="D146" s="2687"/>
      <c r="E146" s="2687"/>
      <c r="F146" s="2687"/>
      <c r="G146" s="2688"/>
      <c r="H146" s="2687"/>
      <c r="I146" s="2688"/>
      <c r="J146" s="2687"/>
      <c r="K146" s="2687"/>
      <c r="L146" s="2688"/>
      <c r="M146" s="2687"/>
      <c r="N146" s="2687"/>
      <c r="O146" s="2688"/>
      <c r="P146" s="2687"/>
      <c r="Q146" s="2687"/>
      <c r="R146" s="2689"/>
    </row>
    <row r="147" spans="2:18" s="907" customFormat="1">
      <c r="B147" s="2687"/>
      <c r="C147" s="2687"/>
      <c r="D147" s="2687"/>
      <c r="E147" s="2687"/>
      <c r="F147" s="2687"/>
      <c r="G147" s="2688"/>
      <c r="H147" s="2687"/>
      <c r="I147" s="2688"/>
      <c r="J147" s="2687"/>
      <c r="K147" s="2687"/>
      <c r="L147" s="2688"/>
      <c r="M147" s="2687"/>
      <c r="N147" s="2687"/>
      <c r="O147" s="2688"/>
      <c r="P147" s="2687"/>
      <c r="Q147" s="2687"/>
      <c r="R147" s="2689"/>
    </row>
    <row r="148" spans="2:18" s="907" customFormat="1">
      <c r="B148" s="2687"/>
      <c r="C148" s="2687"/>
      <c r="D148" s="2687"/>
      <c r="E148" s="2687"/>
      <c r="F148" s="2687"/>
      <c r="G148" s="2688"/>
      <c r="H148" s="2687"/>
      <c r="I148" s="2688"/>
      <c r="J148" s="2687"/>
      <c r="K148" s="2687"/>
      <c r="L148" s="2688"/>
      <c r="M148" s="2687"/>
      <c r="N148" s="2687"/>
      <c r="O148" s="2688"/>
      <c r="P148" s="2687"/>
      <c r="Q148" s="2687"/>
      <c r="R148" s="2689"/>
    </row>
    <row r="149" spans="2:18" s="907" customFormat="1">
      <c r="B149" s="2687"/>
      <c r="C149" s="2687"/>
      <c r="D149" s="2687"/>
      <c r="E149" s="2687"/>
      <c r="F149" s="2687"/>
      <c r="G149" s="2688"/>
      <c r="H149" s="2687"/>
      <c r="I149" s="2688"/>
      <c r="J149" s="2687"/>
      <c r="K149" s="2687"/>
      <c r="L149" s="2688"/>
      <c r="M149" s="2687"/>
      <c r="N149" s="2687"/>
      <c r="O149" s="2688"/>
      <c r="P149" s="2687"/>
      <c r="Q149" s="2687"/>
      <c r="R149" s="2689"/>
    </row>
    <row r="150" spans="2:18" s="907" customFormat="1">
      <c r="B150" s="2687"/>
      <c r="C150" s="2687"/>
      <c r="D150" s="2687"/>
      <c r="E150" s="2687"/>
      <c r="F150" s="2687"/>
      <c r="G150" s="2688"/>
      <c r="H150" s="2687"/>
      <c r="I150" s="2688"/>
      <c r="J150" s="2687"/>
      <c r="K150" s="2687"/>
      <c r="L150" s="2688"/>
      <c r="M150" s="2687"/>
      <c r="N150" s="2687"/>
      <c r="O150" s="2688"/>
      <c r="P150" s="2687"/>
      <c r="Q150" s="2687"/>
      <c r="R150" s="2689"/>
    </row>
    <row r="151" spans="2:18" s="907" customFormat="1">
      <c r="B151" s="2687"/>
      <c r="C151" s="2687"/>
      <c r="D151" s="2687"/>
      <c r="E151" s="2687"/>
      <c r="F151" s="2687"/>
      <c r="G151" s="2688"/>
      <c r="H151" s="2687"/>
      <c r="I151" s="2688"/>
      <c r="J151" s="2687"/>
      <c r="K151" s="2687"/>
      <c r="L151" s="2688"/>
      <c r="M151" s="2687"/>
      <c r="N151" s="2687"/>
      <c r="O151" s="2688"/>
      <c r="P151" s="2687"/>
      <c r="Q151" s="2687"/>
      <c r="R151" s="2689"/>
    </row>
    <row r="152" spans="2:18" s="907" customFormat="1">
      <c r="B152" s="2687"/>
      <c r="C152" s="2687"/>
      <c r="D152" s="2687"/>
      <c r="E152" s="2687"/>
      <c r="F152" s="2687"/>
      <c r="G152" s="2688"/>
      <c r="H152" s="2687"/>
      <c r="I152" s="2688"/>
      <c r="J152" s="2687"/>
      <c r="K152" s="2687"/>
      <c r="L152" s="2688"/>
      <c r="M152" s="2687"/>
      <c r="N152" s="2687"/>
      <c r="O152" s="2688"/>
      <c r="P152" s="2687"/>
      <c r="Q152" s="2687"/>
      <c r="R152" s="2689"/>
    </row>
    <row r="153" spans="2:18" s="907" customFormat="1">
      <c r="B153" s="2687"/>
      <c r="C153" s="2687"/>
      <c r="D153" s="2687"/>
      <c r="E153" s="2687"/>
      <c r="F153" s="2687"/>
      <c r="G153" s="2688"/>
      <c r="H153" s="2687"/>
      <c r="I153" s="2688"/>
      <c r="J153" s="2687"/>
      <c r="K153" s="2687"/>
      <c r="L153" s="2688"/>
      <c r="M153" s="2687"/>
      <c r="N153" s="2687"/>
      <c r="O153" s="2688"/>
      <c r="P153" s="2687"/>
      <c r="Q153" s="2687"/>
      <c r="R153" s="2689"/>
    </row>
    <row r="154" spans="2:18" s="907" customFormat="1">
      <c r="B154" s="2687"/>
      <c r="C154" s="2687"/>
      <c r="D154" s="2687"/>
      <c r="E154" s="2687"/>
      <c r="F154" s="2687"/>
      <c r="G154" s="2688"/>
      <c r="H154" s="2687"/>
      <c r="I154" s="2688"/>
      <c r="J154" s="2687"/>
      <c r="K154" s="2687"/>
      <c r="L154" s="2688"/>
      <c r="M154" s="2687"/>
      <c r="N154" s="2687"/>
      <c r="O154" s="2688"/>
      <c r="P154" s="2687"/>
      <c r="Q154" s="2687"/>
      <c r="R154" s="2689"/>
    </row>
    <row r="155" spans="2:18" s="907" customFormat="1">
      <c r="B155" s="2687"/>
      <c r="C155" s="2687"/>
      <c r="D155" s="2687"/>
      <c r="E155" s="2687"/>
      <c r="F155" s="2687"/>
      <c r="G155" s="2688"/>
      <c r="H155" s="2687"/>
      <c r="I155" s="2688"/>
      <c r="J155" s="2687"/>
      <c r="K155" s="2687"/>
      <c r="L155" s="2688"/>
      <c r="M155" s="2687"/>
      <c r="N155" s="2687"/>
      <c r="O155" s="2688"/>
      <c r="P155" s="2687"/>
      <c r="Q155" s="2687"/>
      <c r="R155" s="2689"/>
    </row>
    <row r="156" spans="2:18" s="907" customFormat="1">
      <c r="B156" s="2687"/>
      <c r="C156" s="2687"/>
      <c r="D156" s="2687"/>
      <c r="E156" s="2687"/>
      <c r="F156" s="2687"/>
      <c r="G156" s="2688"/>
      <c r="H156" s="2687"/>
      <c r="I156" s="2688"/>
      <c r="J156" s="2687"/>
      <c r="K156" s="2687"/>
      <c r="L156" s="2688"/>
      <c r="M156" s="2687"/>
      <c r="N156" s="2687"/>
      <c r="O156" s="2688"/>
      <c r="P156" s="2687"/>
      <c r="Q156" s="2687"/>
      <c r="R156" s="2689"/>
    </row>
    <row r="157" spans="2:18" s="907" customFormat="1">
      <c r="B157" s="2687"/>
      <c r="C157" s="2687"/>
      <c r="D157" s="2687"/>
      <c r="E157" s="2687"/>
      <c r="F157" s="2687"/>
      <c r="G157" s="2688"/>
      <c r="H157" s="2687"/>
      <c r="I157" s="2688"/>
      <c r="J157" s="2687"/>
      <c r="K157" s="2687"/>
      <c r="L157" s="2688"/>
      <c r="M157" s="2687"/>
      <c r="N157" s="2687"/>
      <c r="O157" s="2688"/>
      <c r="P157" s="2687"/>
      <c r="Q157" s="2687"/>
      <c r="R157" s="2689"/>
    </row>
    <row r="158" spans="2:18" s="907" customFormat="1">
      <c r="B158" s="2687"/>
      <c r="C158" s="2687"/>
      <c r="D158" s="2687"/>
      <c r="E158" s="2687"/>
      <c r="F158" s="2687"/>
      <c r="G158" s="2688"/>
      <c r="H158" s="2687"/>
      <c r="I158" s="2688"/>
      <c r="J158" s="2687"/>
      <c r="K158" s="2687"/>
      <c r="L158" s="2688"/>
      <c r="M158" s="2687"/>
      <c r="N158" s="2687"/>
      <c r="O158" s="2688"/>
      <c r="P158" s="2687"/>
      <c r="Q158" s="2687"/>
      <c r="R158" s="2689"/>
    </row>
    <row r="159" spans="2:18" s="907" customFormat="1">
      <c r="B159" s="2687"/>
      <c r="C159" s="2687"/>
      <c r="D159" s="2687"/>
      <c r="E159" s="2687"/>
      <c r="F159" s="2687"/>
      <c r="G159" s="2688"/>
      <c r="H159" s="2687"/>
      <c r="I159" s="2688"/>
      <c r="J159" s="2687"/>
      <c r="K159" s="2687"/>
      <c r="L159" s="2688"/>
      <c r="M159" s="2687"/>
      <c r="N159" s="2687"/>
      <c r="O159" s="2688"/>
      <c r="P159" s="2687"/>
      <c r="Q159" s="2687"/>
      <c r="R159" s="2689"/>
    </row>
    <row r="160" spans="2:18" s="907" customFormat="1">
      <c r="B160" s="2687"/>
      <c r="C160" s="2687"/>
      <c r="D160" s="2687"/>
      <c r="E160" s="2687"/>
      <c r="F160" s="2687"/>
      <c r="G160" s="2688"/>
      <c r="H160" s="2687"/>
      <c r="I160" s="2688"/>
      <c r="J160" s="2687"/>
      <c r="K160" s="2687"/>
      <c r="L160" s="2688"/>
      <c r="M160" s="2687"/>
      <c r="N160" s="2687"/>
      <c r="O160" s="2688"/>
      <c r="P160" s="2687"/>
      <c r="Q160" s="2687"/>
      <c r="R160" s="2689"/>
    </row>
    <row r="161" spans="2:18" s="907" customFormat="1">
      <c r="B161" s="2687"/>
      <c r="C161" s="2687"/>
      <c r="D161" s="2687"/>
      <c r="E161" s="2687"/>
      <c r="F161" s="2687"/>
      <c r="G161" s="2688"/>
      <c r="H161" s="2687"/>
      <c r="I161" s="2688"/>
      <c r="J161" s="2687"/>
      <c r="K161" s="2687"/>
      <c r="L161" s="2688"/>
      <c r="M161" s="2687"/>
      <c r="N161" s="2687"/>
      <c r="O161" s="2688"/>
      <c r="P161" s="2687"/>
      <c r="Q161" s="2687"/>
      <c r="R161" s="2689"/>
    </row>
    <row r="162" spans="2:18" s="907" customFormat="1">
      <c r="B162" s="2687"/>
      <c r="C162" s="2687"/>
      <c r="D162" s="2687"/>
      <c r="E162" s="2687"/>
      <c r="F162" s="2687"/>
      <c r="G162" s="2688"/>
      <c r="H162" s="2687"/>
      <c r="I162" s="2688"/>
      <c r="J162" s="2687"/>
      <c r="K162" s="2687"/>
      <c r="L162" s="2688"/>
      <c r="M162" s="2687"/>
      <c r="N162" s="2687"/>
      <c r="O162" s="2688"/>
      <c r="P162" s="2687"/>
      <c r="Q162" s="2687"/>
      <c r="R162" s="2689"/>
    </row>
    <row r="163" spans="2:18" s="907" customFormat="1">
      <c r="B163" s="2687"/>
      <c r="C163" s="2687"/>
      <c r="D163" s="2687"/>
      <c r="E163" s="2687"/>
      <c r="F163" s="2687"/>
      <c r="G163" s="2688"/>
      <c r="H163" s="2687"/>
      <c r="I163" s="2688"/>
      <c r="J163" s="2687"/>
      <c r="K163" s="2687"/>
      <c r="L163" s="2688"/>
      <c r="M163" s="2687"/>
      <c r="N163" s="2687"/>
      <c r="O163" s="2688"/>
      <c r="P163" s="2687"/>
      <c r="Q163" s="2687"/>
      <c r="R163" s="2689"/>
    </row>
    <row r="164" spans="2:18" s="907" customFormat="1">
      <c r="B164" s="2687"/>
      <c r="C164" s="2687"/>
      <c r="D164" s="2687"/>
      <c r="E164" s="2687"/>
      <c r="F164" s="2687"/>
      <c r="G164" s="2688"/>
      <c r="H164" s="2687"/>
      <c r="I164" s="2688"/>
      <c r="J164" s="2687"/>
      <c r="K164" s="2687"/>
      <c r="L164" s="2688"/>
      <c r="M164" s="2687"/>
      <c r="N164" s="2687"/>
      <c r="O164" s="2688"/>
      <c r="P164" s="2687"/>
      <c r="Q164" s="2687"/>
      <c r="R164" s="2689"/>
    </row>
    <row r="165" spans="2:18" s="907" customFormat="1">
      <c r="B165" s="2687"/>
      <c r="C165" s="2687"/>
      <c r="D165" s="2687"/>
      <c r="E165" s="2687"/>
      <c r="F165" s="2687"/>
      <c r="G165" s="2688"/>
      <c r="H165" s="2687"/>
      <c r="I165" s="2688"/>
      <c r="J165" s="2687"/>
      <c r="K165" s="2687"/>
      <c r="L165" s="2688"/>
      <c r="M165" s="2687"/>
      <c r="N165" s="2687"/>
      <c r="O165" s="2688"/>
      <c r="P165" s="2687"/>
      <c r="Q165" s="2687"/>
      <c r="R165" s="2689"/>
    </row>
    <row r="166" spans="2:18" s="907" customFormat="1">
      <c r="B166" s="2687"/>
      <c r="C166" s="2687"/>
      <c r="D166" s="2687"/>
      <c r="E166" s="2687"/>
      <c r="F166" s="2687"/>
      <c r="G166" s="2688"/>
      <c r="H166" s="2687"/>
      <c r="I166" s="2688"/>
      <c r="J166" s="2687"/>
      <c r="K166" s="2687"/>
      <c r="L166" s="2688"/>
      <c r="M166" s="2687"/>
      <c r="N166" s="2687"/>
      <c r="O166" s="2688"/>
      <c r="P166" s="2687"/>
      <c r="Q166" s="2687"/>
      <c r="R166" s="2689"/>
    </row>
    <row r="167" spans="2:18" s="907" customFormat="1">
      <c r="B167" s="2687"/>
      <c r="C167" s="2687"/>
      <c r="D167" s="2687"/>
      <c r="E167" s="2687"/>
      <c r="F167" s="2687"/>
      <c r="G167" s="2688"/>
      <c r="H167" s="2687"/>
      <c r="I167" s="2688"/>
      <c r="J167" s="2687"/>
      <c r="K167" s="2687"/>
      <c r="L167" s="2688"/>
      <c r="M167" s="2687"/>
      <c r="N167" s="2687"/>
      <c r="O167" s="2688"/>
      <c r="P167" s="2687"/>
      <c r="Q167" s="2687"/>
      <c r="R167" s="2689"/>
    </row>
    <row r="168" spans="2:18" s="907" customFormat="1">
      <c r="B168" s="2687"/>
      <c r="C168" s="2687"/>
      <c r="D168" s="2687"/>
      <c r="E168" s="2687"/>
      <c r="F168" s="2687"/>
      <c r="G168" s="2688"/>
      <c r="H168" s="2687"/>
      <c r="I168" s="2688"/>
      <c r="J168" s="2687"/>
      <c r="K168" s="2687"/>
      <c r="L168" s="2688"/>
      <c r="M168" s="2687"/>
      <c r="N168" s="2687"/>
      <c r="O168" s="2688"/>
      <c r="P168" s="2687"/>
      <c r="Q168" s="2687"/>
      <c r="R168" s="2689"/>
    </row>
    <row r="169" spans="2:18" s="907" customFormat="1">
      <c r="B169" s="2687"/>
      <c r="C169" s="2687"/>
      <c r="D169" s="2687"/>
      <c r="E169" s="2687"/>
      <c r="F169" s="2687"/>
      <c r="G169" s="2688"/>
      <c r="H169" s="2687"/>
      <c r="I169" s="2688"/>
      <c r="J169" s="2687"/>
      <c r="K169" s="2687"/>
      <c r="L169" s="2688"/>
      <c r="M169" s="2687"/>
      <c r="N169" s="2687"/>
      <c r="O169" s="2688"/>
      <c r="P169" s="2687"/>
      <c r="Q169" s="2687"/>
      <c r="R169" s="2689"/>
    </row>
    <row r="170" spans="2:18" s="907" customFormat="1">
      <c r="B170" s="2687"/>
      <c r="C170" s="2687"/>
      <c r="D170" s="2687"/>
      <c r="E170" s="2687"/>
      <c r="F170" s="2687"/>
      <c r="G170" s="2688"/>
      <c r="H170" s="2687"/>
      <c r="I170" s="2688"/>
      <c r="J170" s="2687"/>
      <c r="K170" s="2687"/>
      <c r="L170" s="2688"/>
      <c r="M170" s="2687"/>
      <c r="N170" s="2687"/>
      <c r="O170" s="2688"/>
      <c r="P170" s="2687"/>
      <c r="Q170" s="2687"/>
      <c r="R170" s="2689"/>
    </row>
    <row r="171" spans="2:18" s="907" customFormat="1">
      <c r="B171" s="2687"/>
      <c r="C171" s="2687"/>
      <c r="D171" s="2687"/>
      <c r="E171" s="2687"/>
      <c r="F171" s="2687"/>
      <c r="G171" s="2688"/>
      <c r="H171" s="2687"/>
      <c r="I171" s="2688"/>
      <c r="J171" s="2687"/>
      <c r="K171" s="2687"/>
      <c r="L171" s="2688"/>
      <c r="M171" s="2687"/>
      <c r="N171" s="2687"/>
      <c r="O171" s="2688"/>
      <c r="P171" s="2687"/>
      <c r="Q171" s="2687"/>
      <c r="R171" s="2689"/>
    </row>
    <row r="172" spans="2:18" s="907" customFormat="1">
      <c r="B172" s="2687"/>
      <c r="C172" s="2687"/>
      <c r="D172" s="2687"/>
      <c r="E172" s="2687"/>
      <c r="F172" s="2687"/>
      <c r="G172" s="2688"/>
      <c r="H172" s="2687"/>
      <c r="I172" s="2688"/>
      <c r="J172" s="2687"/>
      <c r="K172" s="2687"/>
      <c r="L172" s="2688"/>
      <c r="M172" s="2687"/>
      <c r="N172" s="2687"/>
      <c r="O172" s="2688"/>
      <c r="P172" s="2687"/>
      <c r="Q172" s="2687"/>
      <c r="R172" s="2689"/>
    </row>
    <row r="173" spans="2:18" s="907" customFormat="1">
      <c r="B173" s="2687"/>
      <c r="C173" s="2687"/>
      <c r="D173" s="2687"/>
      <c r="E173" s="2687"/>
      <c r="F173" s="2687"/>
      <c r="G173" s="2688"/>
      <c r="H173" s="2687"/>
      <c r="I173" s="2688"/>
      <c r="J173" s="2687"/>
      <c r="K173" s="2687"/>
      <c r="L173" s="2688"/>
      <c r="M173" s="2687"/>
      <c r="N173" s="2687"/>
      <c r="O173" s="2688"/>
      <c r="P173" s="2687"/>
      <c r="Q173" s="2687"/>
      <c r="R173" s="2689"/>
    </row>
    <row r="174" spans="2:18" s="907" customFormat="1">
      <c r="B174" s="2687"/>
      <c r="C174" s="2687"/>
      <c r="D174" s="2687"/>
      <c r="E174" s="2687"/>
      <c r="F174" s="2687"/>
      <c r="G174" s="2688"/>
      <c r="H174" s="2687"/>
      <c r="I174" s="2688"/>
      <c r="J174" s="2687"/>
      <c r="K174" s="2687"/>
      <c r="L174" s="2688"/>
      <c r="M174" s="2687"/>
      <c r="N174" s="2687"/>
      <c r="O174" s="2688"/>
      <c r="P174" s="2687"/>
      <c r="Q174" s="2687"/>
      <c r="R174" s="2689"/>
    </row>
    <row r="175" spans="2:18" s="907" customFormat="1">
      <c r="B175" s="2687"/>
      <c r="C175" s="2687"/>
      <c r="D175" s="2687"/>
      <c r="E175" s="2687"/>
      <c r="F175" s="2687"/>
      <c r="G175" s="2688"/>
      <c r="H175" s="2687"/>
      <c r="I175" s="2688"/>
      <c r="J175" s="2687"/>
      <c r="K175" s="2687"/>
      <c r="L175" s="2688"/>
      <c r="M175" s="2687"/>
      <c r="N175" s="2687"/>
      <c r="O175" s="2688"/>
      <c r="P175" s="2687"/>
      <c r="Q175" s="2687"/>
      <c r="R175" s="2689"/>
    </row>
    <row r="176" spans="2:18" s="907" customFormat="1">
      <c r="B176" s="2687"/>
      <c r="C176" s="2687"/>
      <c r="D176" s="2687"/>
      <c r="E176" s="2687"/>
      <c r="F176" s="2687"/>
      <c r="G176" s="2688"/>
      <c r="H176" s="2687"/>
      <c r="I176" s="2688"/>
      <c r="J176" s="2687"/>
      <c r="K176" s="2687"/>
      <c r="L176" s="2688"/>
      <c r="M176" s="2687"/>
      <c r="N176" s="2687"/>
      <c r="O176" s="2688"/>
      <c r="P176" s="2687"/>
      <c r="Q176" s="2687"/>
      <c r="R176" s="2689"/>
    </row>
    <row r="177" spans="1:18" s="907" customFormat="1">
      <c r="B177" s="2687"/>
      <c r="C177" s="2687"/>
      <c r="D177" s="2687"/>
      <c r="E177" s="2687"/>
      <c r="F177" s="2687"/>
      <c r="G177" s="2688"/>
      <c r="H177" s="2687"/>
      <c r="I177" s="2688"/>
      <c r="J177" s="2687"/>
      <c r="K177" s="2687"/>
      <c r="L177" s="2688"/>
      <c r="M177" s="2687"/>
      <c r="N177" s="2687"/>
      <c r="O177" s="2688"/>
      <c r="P177" s="2687"/>
      <c r="Q177" s="2687"/>
      <c r="R177" s="2689"/>
    </row>
    <row r="178" spans="1:18" s="907" customFormat="1">
      <c r="B178" s="2687"/>
      <c r="C178" s="2687"/>
      <c r="D178" s="2687"/>
      <c r="E178" s="2687"/>
      <c r="F178" s="2687"/>
      <c r="G178" s="2688"/>
      <c r="H178" s="2687"/>
      <c r="I178" s="2688"/>
      <c r="J178" s="2687"/>
      <c r="K178" s="2687"/>
      <c r="L178" s="2688"/>
      <c r="M178" s="2687"/>
      <c r="N178" s="2687"/>
      <c r="O178" s="2688"/>
      <c r="P178" s="2687"/>
      <c r="Q178" s="2687"/>
      <c r="R178" s="2689"/>
    </row>
    <row r="179" spans="1:18" s="907" customFormat="1">
      <c r="B179" s="2687"/>
      <c r="C179" s="2687"/>
      <c r="D179" s="2687"/>
      <c r="E179" s="2687"/>
      <c r="F179" s="2687"/>
      <c r="G179" s="2688"/>
      <c r="H179" s="2687"/>
      <c r="I179" s="2688"/>
      <c r="J179" s="2687"/>
      <c r="K179" s="2687"/>
      <c r="L179" s="2688"/>
      <c r="M179" s="2687"/>
      <c r="N179" s="2687"/>
      <c r="O179" s="2688"/>
      <c r="P179" s="2687"/>
      <c r="Q179" s="2687"/>
      <c r="R179" s="2689"/>
    </row>
    <row r="180" spans="1:18" s="907" customFormat="1">
      <c r="B180" s="2687"/>
      <c r="C180" s="2687"/>
      <c r="D180" s="2687"/>
      <c r="E180" s="2687"/>
      <c r="F180" s="2687"/>
      <c r="G180" s="2688"/>
      <c r="H180" s="2687"/>
      <c r="I180" s="2688"/>
      <c r="J180" s="2687"/>
      <c r="K180" s="2687"/>
      <c r="L180" s="2688"/>
      <c r="M180" s="2687"/>
      <c r="N180" s="2687"/>
      <c r="O180" s="2688"/>
      <c r="P180" s="2687"/>
      <c r="Q180" s="2687"/>
      <c r="R180" s="2689"/>
    </row>
    <row r="181" spans="1:18" s="907" customFormat="1">
      <c r="B181" s="2687"/>
      <c r="C181" s="2687"/>
      <c r="D181" s="2687"/>
      <c r="E181" s="2687"/>
      <c r="F181" s="2687"/>
      <c r="G181" s="2688"/>
      <c r="H181" s="2687"/>
      <c r="I181" s="2688"/>
      <c r="J181" s="2687"/>
      <c r="K181" s="2687"/>
      <c r="L181" s="2688"/>
      <c r="M181" s="2687"/>
      <c r="N181" s="2687"/>
      <c r="O181" s="2688"/>
      <c r="P181" s="2687"/>
      <c r="Q181" s="2687"/>
      <c r="R181" s="2689"/>
    </row>
    <row r="182" spans="1:18" s="907" customFormat="1">
      <c r="B182" s="2687"/>
      <c r="C182" s="2687"/>
      <c r="D182" s="2687"/>
      <c r="E182" s="2687"/>
      <c r="F182" s="2687"/>
      <c r="G182" s="2688"/>
      <c r="H182" s="2687"/>
      <c r="I182" s="2688"/>
      <c r="J182" s="2687"/>
      <c r="K182" s="2687"/>
      <c r="L182" s="2688"/>
      <c r="M182" s="2687"/>
      <c r="N182" s="2687"/>
      <c r="O182" s="2688"/>
      <c r="P182" s="2687"/>
      <c r="Q182" s="2687"/>
      <c r="R182" s="2689"/>
    </row>
    <row r="183" spans="1:18" s="907" customFormat="1">
      <c r="B183" s="2687"/>
      <c r="C183" s="2687"/>
      <c r="D183" s="2687"/>
      <c r="E183" s="2687"/>
      <c r="F183" s="2687"/>
      <c r="G183" s="2688"/>
      <c r="H183" s="2687"/>
      <c r="I183" s="2688"/>
      <c r="J183" s="2687"/>
      <c r="K183" s="2687"/>
      <c r="L183" s="2688"/>
      <c r="M183" s="2687"/>
      <c r="N183" s="2687"/>
      <c r="O183" s="2688"/>
      <c r="P183" s="2687"/>
      <c r="Q183" s="2687"/>
      <c r="R183" s="2689"/>
    </row>
    <row r="184" spans="1:18" s="907" customFormat="1">
      <c r="B184" s="2687"/>
      <c r="C184" s="2687"/>
      <c r="D184" s="2687"/>
      <c r="E184" s="2687"/>
      <c r="F184" s="2687"/>
      <c r="G184" s="2688"/>
      <c r="H184" s="2687"/>
      <c r="I184" s="2688"/>
      <c r="J184" s="2687"/>
      <c r="K184" s="2687"/>
      <c r="L184" s="2688"/>
      <c r="M184" s="2687"/>
      <c r="N184" s="2687"/>
      <c r="O184" s="2688"/>
      <c r="P184" s="2687"/>
      <c r="Q184" s="2687"/>
      <c r="R184" s="2689"/>
    </row>
    <row r="185" spans="1:18" s="907" customFormat="1">
      <c r="B185" s="2687"/>
      <c r="C185" s="2687"/>
      <c r="D185" s="2687"/>
      <c r="E185" s="2687"/>
      <c r="F185" s="2687"/>
      <c r="G185" s="2688"/>
      <c r="H185" s="2687"/>
      <c r="I185" s="2688"/>
      <c r="J185" s="2687"/>
      <c r="K185" s="2687"/>
      <c r="L185" s="2688"/>
      <c r="M185" s="2687"/>
      <c r="N185" s="2687"/>
      <c r="O185" s="2688"/>
      <c r="P185" s="2687"/>
      <c r="Q185" s="2687"/>
      <c r="R185" s="2689"/>
    </row>
    <row r="186" spans="1:18">
      <c r="A186" s="907"/>
      <c r="B186" s="2687"/>
      <c r="C186" s="2687"/>
      <c r="E186" s="2687"/>
      <c r="F186" s="2687"/>
      <c r="G186" s="2688"/>
    </row>
    <row r="187" spans="1:18">
      <c r="A187" s="907"/>
      <c r="B187" s="2687"/>
      <c r="C187" s="2687"/>
      <c r="E187" s="2687"/>
      <c r="F187" s="2687"/>
      <c r="G187" s="26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9" customWidth="1"/>
    <col min="2" max="9" width="15.75" style="2709" customWidth="1"/>
    <col min="10" max="16384" width="9" style="2709"/>
  </cols>
  <sheetData>
    <row r="1" spans="1:11" ht="16.5">
      <c r="A1" s="2708" t="s">
        <v>1271</v>
      </c>
      <c r="B1" s="2708">
        <f>SUM(B14:B23)</f>
        <v>69898.900000000009</v>
      </c>
      <c r="C1" s="2885"/>
      <c r="D1" s="2885"/>
      <c r="E1" s="2885"/>
      <c r="F1" s="2885"/>
      <c r="G1" s="2886"/>
      <c r="H1" s="2887"/>
      <c r="I1" s="2887"/>
      <c r="J1" s="2887"/>
      <c r="K1" s="2887"/>
    </row>
    <row r="2" spans="1:11" ht="16.5">
      <c r="A2" s="2708" t="s">
        <v>1259</v>
      </c>
      <c r="B2" s="2708">
        <f>SUM(C14:C23)</f>
        <v>20467.919999999998</v>
      </c>
      <c r="C2" s="2885"/>
      <c r="D2" s="2885"/>
      <c r="E2" s="2885"/>
      <c r="F2" s="2885"/>
      <c r="G2" s="2886"/>
      <c r="H2" s="2887"/>
      <c r="I2" s="2887"/>
      <c r="J2" s="2887"/>
      <c r="K2" s="2887"/>
    </row>
    <row r="3" spans="1:11" ht="16.5">
      <c r="A3" s="2708" t="s">
        <v>1268</v>
      </c>
      <c r="B3" s="2710">
        <f>项目基本情况!D3</f>
        <v>44543</v>
      </c>
      <c r="C3" s="2885"/>
      <c r="D3" s="2885"/>
      <c r="E3" s="2885"/>
      <c r="F3" s="2885"/>
      <c r="G3" s="2886"/>
      <c r="H3" s="2887"/>
      <c r="I3" s="2887"/>
      <c r="J3" s="2887"/>
      <c r="K3" s="2887"/>
    </row>
    <row r="4" spans="1:11" ht="33">
      <c r="A4" s="2708" t="s">
        <v>1267</v>
      </c>
      <c r="B4" s="2708" t="s">
        <v>1266</v>
      </c>
      <c r="C4" s="2708" t="s">
        <v>1265</v>
      </c>
      <c r="D4" s="2708" t="s">
        <v>1264</v>
      </c>
      <c r="E4" s="2885"/>
      <c r="F4" s="2886"/>
      <c r="G4" s="2886"/>
      <c r="H4" s="2887"/>
      <c r="I4" s="2887"/>
      <c r="J4" s="2887"/>
      <c r="K4" s="2887"/>
    </row>
    <row r="5" spans="1:11" ht="16.5">
      <c r="A5" s="2708" t="s">
        <v>1263</v>
      </c>
      <c r="B5" s="2708">
        <f ca="1">SUM(D14:D23)</f>
        <v>47074</v>
      </c>
      <c r="C5" s="2708">
        <f ca="1">ROUND(B5*10000/$B$1,0)</f>
        <v>6735</v>
      </c>
      <c r="D5" s="2708">
        <f ca="1">ROUND(B5*10000/$B$2,0)</f>
        <v>22999</v>
      </c>
      <c r="E5" s="2885"/>
      <c r="F5" s="2886"/>
      <c r="G5" s="2886"/>
      <c r="H5" s="2887"/>
      <c r="I5" s="2887"/>
      <c r="J5" s="2887"/>
      <c r="K5" s="2887"/>
    </row>
    <row r="6" spans="1:11" ht="16.5">
      <c r="A6" s="2708" t="s">
        <v>1262</v>
      </c>
      <c r="B6" s="2708">
        <f ca="1">SUM(G14:G23)</f>
        <v>47074</v>
      </c>
      <c r="C6" s="2708">
        <f ca="1">ROUND(B6*10000/$B$1,0)</f>
        <v>6735</v>
      </c>
      <c r="D6" s="2708">
        <f ca="1">ROUND(B6*10000/$B$2,0)</f>
        <v>22999</v>
      </c>
      <c r="E6" s="2885"/>
      <c r="F6" s="2886"/>
      <c r="G6" s="2886"/>
      <c r="H6" s="2887"/>
      <c r="I6" s="2887"/>
      <c r="J6" s="2887"/>
      <c r="K6" s="2887"/>
    </row>
    <row r="7" spans="1:11" ht="16.5">
      <c r="A7" s="2708" t="s">
        <v>1270</v>
      </c>
      <c r="B7" s="2708">
        <f>SUM(H14:H23)</f>
        <v>0</v>
      </c>
      <c r="C7" s="2708">
        <f>ROUND(B7*10000/$B$1,0)</f>
        <v>0</v>
      </c>
      <c r="D7" s="2708">
        <f>ROUND(B7*10000/$B$2,0)</f>
        <v>0</v>
      </c>
      <c r="E7" s="2885"/>
      <c r="F7" s="2886"/>
      <c r="G7" s="2886"/>
      <c r="H7" s="2887"/>
      <c r="I7" s="2887"/>
      <c r="J7" s="2887"/>
      <c r="K7" s="2887"/>
    </row>
    <row r="8" spans="1:11" ht="16.5">
      <c r="A8" s="2708" t="s">
        <v>1193</v>
      </c>
      <c r="B8" s="2708">
        <f>SUM(I14:I23)</f>
        <v>0</v>
      </c>
      <c r="C8" s="2708">
        <f>ROUND(B8*10000/$B$1,0)</f>
        <v>0</v>
      </c>
      <c r="D8" s="2708">
        <f>ROUND(B8*10000/$B$2,0)</f>
        <v>0</v>
      </c>
      <c r="E8" s="2885"/>
      <c r="F8" s="2886"/>
      <c r="G8" s="2886"/>
      <c r="H8" s="2887"/>
      <c r="I8" s="2887"/>
      <c r="J8" s="2887"/>
      <c r="K8" s="2887"/>
    </row>
    <row r="9" spans="1:11" ht="16.5">
      <c r="A9" s="2708" t="s">
        <v>1261</v>
      </c>
      <c r="B9" s="2716"/>
      <c r="C9" s="2885"/>
      <c r="D9" s="2885"/>
      <c r="E9" s="2885"/>
      <c r="F9" s="2886"/>
      <c r="G9" s="2886"/>
      <c r="H9" s="2887"/>
      <c r="I9" s="2887"/>
      <c r="J9" s="2887"/>
      <c r="K9" s="2887"/>
    </row>
    <row r="10" spans="1:11" ht="16.5">
      <c r="A10" s="2708" t="s">
        <v>1260</v>
      </c>
      <c r="B10" s="2716"/>
      <c r="C10" s="2885"/>
      <c r="D10" s="2885"/>
      <c r="E10" s="2885"/>
      <c r="F10" s="2886"/>
      <c r="G10" s="2886"/>
      <c r="H10" s="2887"/>
      <c r="I10" s="2887"/>
      <c r="J10" s="2887"/>
      <c r="K10" s="2887"/>
    </row>
    <row r="11" spans="1:11" ht="16.5">
      <c r="A11" s="2708" t="s">
        <v>1276</v>
      </c>
      <c r="B11" s="2716"/>
      <c r="C11" s="2885"/>
      <c r="D11" s="2885"/>
      <c r="E11" s="2885"/>
      <c r="F11" s="2886"/>
      <c r="G11" s="2886"/>
      <c r="H11" s="2887"/>
      <c r="I11" s="2887"/>
      <c r="J11" s="2887"/>
      <c r="K11" s="2887"/>
    </row>
    <row r="12" spans="1:11" ht="16.5">
      <c r="A12" s="2885"/>
      <c r="B12" s="2885"/>
      <c r="C12" s="2885"/>
      <c r="D12" s="2885"/>
      <c r="E12" s="2885"/>
      <c r="F12" s="2886"/>
      <c r="G12" s="2886"/>
      <c r="H12" s="2887"/>
      <c r="I12" s="2887"/>
      <c r="J12" s="2887"/>
      <c r="K12" s="2887"/>
    </row>
    <row r="13" spans="1:11" ht="33">
      <c r="A13" s="2711" t="s">
        <v>1275</v>
      </c>
      <c r="B13" s="2712" t="s">
        <v>1272</v>
      </c>
      <c r="C13" s="2712" t="s">
        <v>1274</v>
      </c>
      <c r="D13" s="2712" t="s">
        <v>1273</v>
      </c>
      <c r="E13" s="2708" t="s">
        <v>1265</v>
      </c>
      <c r="F13" s="2708" t="s">
        <v>1264</v>
      </c>
      <c r="G13" s="2712" t="s">
        <v>1258</v>
      </c>
      <c r="H13" s="2712" t="s">
        <v>1269</v>
      </c>
      <c r="I13" s="2712" t="s">
        <v>1257</v>
      </c>
      <c r="J13" s="2886"/>
      <c r="K13" s="2887"/>
    </row>
    <row r="14" spans="1:11" ht="16.5">
      <c r="A14" s="2713" t="s">
        <v>1256</v>
      </c>
      <c r="B14" s="2714">
        <f>结果表!B118</f>
        <v>69898.900000000009</v>
      </c>
      <c r="C14" s="2714">
        <f>结果表!C118</f>
        <v>20467.919999999998</v>
      </c>
      <c r="D14" s="2714">
        <f ca="1">结果表!H118</f>
        <v>47074</v>
      </c>
      <c r="E14" s="2714">
        <f ca="1">ROUND(D14*10000/B14,0)</f>
        <v>6735</v>
      </c>
      <c r="F14" s="2714">
        <f ca="1">ROUND(D14*10000/C14,0)</f>
        <v>22999</v>
      </c>
      <c r="G14" s="2714">
        <f ca="1">结果表!D122</f>
        <v>47074</v>
      </c>
      <c r="H14" s="2714" t="str">
        <f>结果表!D124</f>
        <v>——</v>
      </c>
      <c r="I14" s="2714" t="str">
        <f>结果表!D126</f>
        <v>——</v>
      </c>
      <c r="J14" s="2886"/>
      <c r="K14" s="2887"/>
    </row>
    <row r="15" spans="1:11" ht="16.5">
      <c r="A15" s="2713" t="s">
        <v>1255</v>
      </c>
      <c r="B15" s="2715"/>
      <c r="C15" s="2715"/>
      <c r="D15" s="2715"/>
      <c r="E15" s="2714" t="e">
        <f t="shared" ref="E15:E23" si="0">ROUND(D15*10000/B15,0)</f>
        <v>#DIV/0!</v>
      </c>
      <c r="F15" s="2714" t="e">
        <f t="shared" ref="F15:F23" si="1">ROUND(D15*10000/C15,0)</f>
        <v>#DIV/0!</v>
      </c>
      <c r="G15" s="1471"/>
      <c r="H15" s="1471"/>
      <c r="I15" s="2715"/>
      <c r="J15" s="2886"/>
      <c r="K15" s="2887"/>
    </row>
    <row r="16" spans="1:11" ht="16.5">
      <c r="A16" s="2713" t="s">
        <v>1254</v>
      </c>
      <c r="B16" s="2715"/>
      <c r="C16" s="2715"/>
      <c r="D16" s="2715"/>
      <c r="E16" s="2714" t="e">
        <f t="shared" si="0"/>
        <v>#DIV/0!</v>
      </c>
      <c r="F16" s="2714" t="e">
        <f t="shared" si="1"/>
        <v>#DIV/0!</v>
      </c>
      <c r="G16" s="1471"/>
      <c r="H16" s="1471"/>
      <c r="I16" s="2715"/>
      <c r="J16" s="2887"/>
      <c r="K16" s="2887"/>
    </row>
    <row r="17" spans="1:11" ht="16.5">
      <c r="A17" s="2713" t="s">
        <v>1253</v>
      </c>
      <c r="B17" s="2715"/>
      <c r="C17" s="2715"/>
      <c r="D17" s="2715"/>
      <c r="E17" s="2714" t="e">
        <f t="shared" si="0"/>
        <v>#DIV/0!</v>
      </c>
      <c r="F17" s="2714" t="e">
        <f t="shared" si="1"/>
        <v>#DIV/0!</v>
      </c>
      <c r="G17" s="1471"/>
      <c r="H17" s="1471"/>
      <c r="I17" s="2715"/>
      <c r="J17" s="2887"/>
      <c r="K17" s="2887"/>
    </row>
    <row r="18" spans="1:11" ht="16.5">
      <c r="A18" s="2713" t="s">
        <v>1252</v>
      </c>
      <c r="B18" s="2715"/>
      <c r="C18" s="2715"/>
      <c r="D18" s="2715"/>
      <c r="E18" s="2714" t="e">
        <f t="shared" si="0"/>
        <v>#DIV/0!</v>
      </c>
      <c r="F18" s="2714" t="e">
        <f t="shared" si="1"/>
        <v>#DIV/0!</v>
      </c>
      <c r="G18" s="2715"/>
      <c r="H18" s="2715"/>
      <c r="I18" s="2715"/>
      <c r="J18" s="2887"/>
      <c r="K18" s="2887"/>
    </row>
    <row r="19" spans="1:11" ht="16.5">
      <c r="A19" s="2713" t="s">
        <v>1251</v>
      </c>
      <c r="B19" s="2715"/>
      <c r="C19" s="2715"/>
      <c r="D19" s="2715"/>
      <c r="E19" s="2714" t="e">
        <f t="shared" si="0"/>
        <v>#DIV/0!</v>
      </c>
      <c r="F19" s="2714" t="e">
        <f t="shared" si="1"/>
        <v>#DIV/0!</v>
      </c>
      <c r="G19" s="2715"/>
      <c r="H19" s="2715"/>
      <c r="I19" s="2715"/>
      <c r="J19" s="2887"/>
      <c r="K19" s="2887"/>
    </row>
    <row r="20" spans="1:11" ht="16.5">
      <c r="A20" s="2713" t="s">
        <v>1250</v>
      </c>
      <c r="B20" s="2715"/>
      <c r="C20" s="2715"/>
      <c r="D20" s="2715"/>
      <c r="E20" s="2714" t="e">
        <f t="shared" si="0"/>
        <v>#DIV/0!</v>
      </c>
      <c r="F20" s="2714" t="e">
        <f t="shared" si="1"/>
        <v>#DIV/0!</v>
      </c>
      <c r="G20" s="2715"/>
      <c r="H20" s="2715"/>
      <c r="I20" s="2715"/>
      <c r="J20" s="2887"/>
      <c r="K20" s="2887"/>
    </row>
    <row r="21" spans="1:11" ht="16.5">
      <c r="A21" s="2713" t="s">
        <v>1249</v>
      </c>
      <c r="B21" s="2715"/>
      <c r="C21" s="2715"/>
      <c r="D21" s="2715"/>
      <c r="E21" s="2714" t="e">
        <f t="shared" si="0"/>
        <v>#DIV/0!</v>
      </c>
      <c r="F21" s="2714" t="e">
        <f t="shared" si="1"/>
        <v>#DIV/0!</v>
      </c>
      <c r="G21" s="2715"/>
      <c r="H21" s="2715"/>
      <c r="I21" s="2715"/>
      <c r="J21" s="2887"/>
      <c r="K21" s="2887"/>
    </row>
    <row r="22" spans="1:11" ht="16.5">
      <c r="A22" s="2713" t="s">
        <v>1248</v>
      </c>
      <c r="B22" s="2715"/>
      <c r="C22" s="2715"/>
      <c r="D22" s="2715"/>
      <c r="E22" s="2714" t="e">
        <f t="shared" si="0"/>
        <v>#DIV/0!</v>
      </c>
      <c r="F22" s="2714" t="e">
        <f t="shared" si="1"/>
        <v>#DIV/0!</v>
      </c>
      <c r="G22" s="2715"/>
      <c r="H22" s="2715"/>
      <c r="I22" s="2715"/>
      <c r="J22" s="2887"/>
      <c r="K22" s="2887"/>
    </row>
    <row r="23" spans="1:11" ht="16.5">
      <c r="A23" s="2713" t="s">
        <v>1247</v>
      </c>
      <c r="B23" s="2715"/>
      <c r="C23" s="2715"/>
      <c r="D23" s="2715"/>
      <c r="E23" s="2716" t="e">
        <f t="shared" si="0"/>
        <v>#DIV/0!</v>
      </c>
      <c r="F23" s="2716" t="e">
        <f t="shared" si="1"/>
        <v>#DIV/0!</v>
      </c>
      <c r="G23" s="2715"/>
      <c r="H23" s="2715"/>
      <c r="I23" s="2715"/>
      <c r="J23" s="2887"/>
      <c r="K23" s="2887"/>
    </row>
    <row r="24" spans="1:11">
      <c r="A24" s="2887"/>
      <c r="B24" s="2887"/>
      <c r="C24" s="2887"/>
      <c r="D24" s="2887"/>
      <c r="E24" s="2887"/>
      <c r="F24" s="2887"/>
      <c r="G24" s="2887"/>
      <c r="H24" s="2887"/>
      <c r="I24" s="2887"/>
      <c r="J24" s="2887"/>
      <c r="K24" s="2887"/>
    </row>
    <row r="25" spans="1:11">
      <c r="A25" s="2887"/>
      <c r="B25" s="2887"/>
      <c r="C25" s="2887"/>
      <c r="D25" s="2887"/>
      <c r="E25" s="2887"/>
      <c r="F25" s="2887"/>
      <c r="G25" s="2887"/>
      <c r="H25" s="2887"/>
      <c r="I25" s="2887"/>
      <c r="J25" s="2887"/>
      <c r="K25" s="2887"/>
    </row>
    <row r="26" spans="1:11">
      <c r="A26" s="2887"/>
      <c r="B26" s="2887"/>
      <c r="C26" s="2887"/>
      <c r="D26" s="2887"/>
      <c r="E26" s="2887"/>
      <c r="F26" s="2887"/>
      <c r="G26" s="2887"/>
      <c r="H26" s="2887"/>
      <c r="I26" s="2887"/>
      <c r="J26" s="2887"/>
      <c r="K26" s="288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88" zoomScaleNormal="100" zoomScaleSheetLayoutView="100" zoomScalePageLayoutView="80" workbookViewId="0">
      <selection activeCell="C104" sqref="C104"/>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1888</v>
      </c>
      <c r="B1" s="1903"/>
      <c r="C1" s="1904"/>
      <c r="D1" s="1903"/>
      <c r="E1" s="1903"/>
      <c r="F1" s="1905" t="s">
        <v>1889</v>
      </c>
      <c r="G1" s="1716"/>
      <c r="H1" s="1906" t="str">
        <f>IF(G1="现房","——","估价对象范围")</f>
        <v>估价对象范围</v>
      </c>
      <c r="I1" s="1907"/>
    </row>
    <row r="2" spans="1:12" ht="21.75" customHeight="1" thickBot="1">
      <c r="A2" s="3538" t="str">
        <f>项目基本情况!S2</f>
        <v>房地产</v>
      </c>
      <c r="B2" s="3539"/>
      <c r="C2" s="3539"/>
      <c r="D2" s="3539"/>
      <c r="E2" s="3539"/>
      <c r="F2" s="3539"/>
      <c r="G2" s="3539"/>
      <c r="H2" s="3539"/>
      <c r="I2" s="3540"/>
    </row>
    <row r="3" spans="1:12" ht="12.75">
      <c r="A3" s="3542" t="s">
        <v>1890</v>
      </c>
      <c r="B3" s="3543"/>
      <c r="C3" s="3543"/>
      <c r="D3" s="3543"/>
      <c r="E3" s="3543"/>
      <c r="F3" s="3543"/>
      <c r="G3" s="3543"/>
      <c r="H3" s="3543"/>
      <c r="I3" s="3543"/>
    </row>
    <row r="4" spans="1:12" ht="14.25">
      <c r="A4" s="1910" t="s">
        <v>1891</v>
      </c>
      <c r="B4" s="1911" t="s">
        <v>1892</v>
      </c>
      <c r="C4" s="1912" t="s">
        <v>3202</v>
      </c>
      <c r="D4" s="1912" t="s">
        <v>3292</v>
      </c>
      <c r="E4" s="3547" t="s">
        <v>1893</v>
      </c>
      <c r="F4" s="3548"/>
      <c r="G4" s="3548"/>
      <c r="H4" s="3548"/>
      <c r="I4" s="3549"/>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483" t="s">
        <v>1894</v>
      </c>
      <c r="B5" s="3541">
        <v>25</v>
      </c>
      <c r="C5" s="3544"/>
      <c r="D5" s="3532"/>
      <c r="E5" s="136" t="s">
        <v>1895</v>
      </c>
      <c r="F5" s="1913"/>
      <c r="G5" s="1913"/>
      <c r="H5" s="1913"/>
      <c r="I5" s="1527"/>
    </row>
    <row r="6" spans="1:12" ht="12.75">
      <c r="A6" s="3483"/>
      <c r="B6" s="3541"/>
      <c r="C6" s="3546"/>
      <c r="D6" s="3532"/>
      <c r="E6" s="136" t="s">
        <v>1896</v>
      </c>
      <c r="F6" s="1913"/>
      <c r="G6" s="1913"/>
      <c r="H6" s="1913"/>
      <c r="I6" s="1527"/>
    </row>
    <row r="7" spans="1:12" ht="12.75">
      <c r="A7" s="3483"/>
      <c r="B7" s="3541"/>
      <c r="C7" s="3545"/>
      <c r="D7" s="3532"/>
      <c r="E7" s="136" t="s">
        <v>1897</v>
      </c>
      <c r="F7" s="1913"/>
      <c r="G7" s="1913"/>
      <c r="H7" s="1913"/>
      <c r="I7" s="1527"/>
    </row>
    <row r="8" spans="1:12" ht="12.75">
      <c r="A8" s="3483" t="s">
        <v>1898</v>
      </c>
      <c r="B8" s="3541">
        <v>15</v>
      </c>
      <c r="C8" s="3544"/>
      <c r="D8" s="3532"/>
      <c r="E8" s="136" t="s">
        <v>1899</v>
      </c>
      <c r="F8" s="1913"/>
      <c r="G8" s="1913"/>
      <c r="H8" s="1913"/>
      <c r="I8" s="1527"/>
    </row>
    <row r="9" spans="1:12" ht="12.75">
      <c r="A9" s="3483"/>
      <c r="B9" s="3541"/>
      <c r="C9" s="3545"/>
      <c r="D9" s="3532"/>
      <c r="E9" s="136" t="s">
        <v>1900</v>
      </c>
      <c r="F9" s="1913"/>
      <c r="G9" s="1913"/>
      <c r="H9" s="1913"/>
      <c r="I9" s="1527"/>
    </row>
    <row r="10" spans="1:12" ht="12.75">
      <c r="A10" s="3483" t="s">
        <v>1901</v>
      </c>
      <c r="B10" s="3541">
        <v>15</v>
      </c>
      <c r="C10" s="3544"/>
      <c r="D10" s="3532"/>
      <c r="E10" s="136" t="s">
        <v>1902</v>
      </c>
      <c r="F10" s="1913"/>
      <c r="G10" s="1913"/>
      <c r="H10" s="1913"/>
      <c r="I10" s="1527"/>
    </row>
    <row r="11" spans="1:12" ht="12.75">
      <c r="A11" s="3483"/>
      <c r="B11" s="3541"/>
      <c r="C11" s="3545"/>
      <c r="D11" s="3532"/>
      <c r="E11" s="136" t="s">
        <v>1903</v>
      </c>
      <c r="F11" s="1913"/>
      <c r="G11" s="1913"/>
      <c r="H11" s="1913"/>
      <c r="I11" s="1527"/>
    </row>
    <row r="12" spans="1:12" ht="12.75">
      <c r="A12" s="3483" t="s">
        <v>1904</v>
      </c>
      <c r="B12" s="3541">
        <v>15</v>
      </c>
      <c r="C12" s="3544"/>
      <c r="D12" s="3532"/>
      <c r="E12" s="136" t="s">
        <v>1905</v>
      </c>
      <c r="F12" s="1913"/>
      <c r="G12" s="1913"/>
      <c r="H12" s="1913"/>
      <c r="I12" s="1527"/>
    </row>
    <row r="13" spans="1:12" ht="12.75">
      <c r="A13" s="3483"/>
      <c r="B13" s="3541"/>
      <c r="C13" s="3545"/>
      <c r="D13" s="3532"/>
      <c r="E13" s="136" t="s">
        <v>1906</v>
      </c>
      <c r="F13" s="1913"/>
      <c r="G13" s="1913"/>
      <c r="H13" s="1913"/>
      <c r="I13" s="1527"/>
    </row>
    <row r="14" spans="1:12" ht="12.75">
      <c r="A14" s="3483" t="s">
        <v>1907</v>
      </c>
      <c r="B14" s="3541">
        <v>30</v>
      </c>
      <c r="C14" s="3544">
        <v>5</v>
      </c>
      <c r="D14" s="3532">
        <v>5</v>
      </c>
      <c r="E14" s="136" t="s">
        <v>1908</v>
      </c>
      <c r="F14" s="1913"/>
      <c r="G14" s="1913"/>
      <c r="H14" s="1913"/>
      <c r="I14" s="1527"/>
    </row>
    <row r="15" spans="1:12" ht="12.75">
      <c r="A15" s="3483"/>
      <c r="B15" s="3541"/>
      <c r="C15" s="3546"/>
      <c r="D15" s="3532"/>
      <c r="E15" s="136" t="s">
        <v>1909</v>
      </c>
      <c r="F15" s="1913"/>
      <c r="G15" s="1913"/>
      <c r="H15" s="1913"/>
      <c r="I15" s="1527"/>
    </row>
    <row r="16" spans="1:12" ht="12.75">
      <c r="A16" s="3483"/>
      <c r="B16" s="3541"/>
      <c r="C16" s="3545"/>
      <c r="D16" s="3532"/>
      <c r="E16" s="136" t="s">
        <v>1910</v>
      </c>
      <c r="F16" s="1913"/>
      <c r="G16" s="1913"/>
      <c r="H16" s="1913"/>
      <c r="I16" s="1527"/>
    </row>
    <row r="17" spans="1:36" ht="15">
      <c r="A17" s="1914" t="s">
        <v>1911</v>
      </c>
      <c r="B17" s="60"/>
      <c r="C17" s="137">
        <f>SUM(C5:C16)</f>
        <v>5</v>
      </c>
      <c r="D17" s="137">
        <f>SUM(D5:D16)</f>
        <v>5</v>
      </c>
      <c r="E17" s="134"/>
      <c r="F17" s="134"/>
      <c r="G17" s="134"/>
      <c r="H17" s="134"/>
      <c r="I17" s="134"/>
      <c r="K17" s="308"/>
      <c r="L17" s="308" t="s">
        <v>1912</v>
      </c>
      <c r="M17" s="308" t="s">
        <v>1913</v>
      </c>
    </row>
    <row r="18" spans="1:36" ht="31.9" customHeight="1" thickBot="1">
      <c r="A18" s="1915" t="s">
        <v>1914</v>
      </c>
      <c r="B18" s="1916"/>
      <c r="C18" s="138">
        <f>ROUND(C17/SUM(C17:D17),2)</f>
        <v>0.5</v>
      </c>
      <c r="D18" s="138">
        <f>1-C18</f>
        <v>0.5</v>
      </c>
      <c r="E18" s="3563" t="s">
        <v>2814</v>
      </c>
      <c r="F18" s="3564"/>
      <c r="G18" s="3564"/>
      <c r="H18" s="3564"/>
      <c r="I18" s="3564"/>
      <c r="K18" s="308" t="s">
        <v>1915</v>
      </c>
      <c r="L18" s="308">
        <f>IF(C1="",'数据-汇总表'!E3,SUMIF(项目类型,C1,'数据-汇总表'!E17:E26)+SUMIF(项目类型,C1,'数据-汇总表'!I17:I26))</f>
        <v>69898.900000000009</v>
      </c>
      <c r="M18" s="308">
        <f>IF(C1="",'数据-汇总表'!E3,SUMIF(项目类型,C1,'数据-汇总表'!E17:E26))</f>
        <v>69898.900000000009</v>
      </c>
    </row>
    <row r="19" spans="1:36" ht="15">
      <c r="A19" s="1917" t="s">
        <v>1916</v>
      </c>
      <c r="B19" s="1918" t="s">
        <v>1917</v>
      </c>
      <c r="C19" s="139">
        <f ca="1">SUMIF(INDIRECT("'"&amp;C4&amp;"'"&amp;"!A:A"),结果表!B19,INDIRECT("'"&amp;C4&amp;"'"&amp;"!B:B"))</f>
        <v>46681</v>
      </c>
      <c r="D19" s="140">
        <f ca="1">SUMIF(INDIRECT("'"&amp;D4&amp;"'"&amp;"!A:A"),结果表!B19,INDIRECT("'"&amp;D4&amp;"'"&amp;"!B:B"))</f>
        <v>47467</v>
      </c>
      <c r="E19" s="1917" t="s">
        <v>1918</v>
      </c>
      <c r="F19" s="1918" t="s">
        <v>1917</v>
      </c>
      <c r="G19" s="141">
        <f ca="1">ROUND(C19*$C$18+D19*$D$18,0)</f>
        <v>47074</v>
      </c>
      <c r="H19" s="1919" t="s">
        <v>1919</v>
      </c>
      <c r="I19" s="134"/>
      <c r="K19" s="308" t="s">
        <v>1920</v>
      </c>
      <c r="L19" s="308">
        <f>IF(C1="",'数据-汇总表'!D3,SUMIF(项目类型,C1,'数据-汇总表'!D17:D26)+SUMIF(项目类型,C1,'数据-汇总表'!H17:H27))</f>
        <v>20467.919999999998</v>
      </c>
      <c r="M19" s="308">
        <f>IF(C1="",'数据-汇总表'!D3,SUMIF(项目类型,C1,'数据-汇总表'!D17:D26))</f>
        <v>20467.919999999998</v>
      </c>
    </row>
    <row r="20" spans="1:36" ht="15">
      <c r="A20" s="1920"/>
      <c r="B20" s="1157" t="s">
        <v>1921</v>
      </c>
      <c r="C20" s="142">
        <f ca="1">SUMIF(INDIRECT("'"&amp;C4&amp;"'"&amp;"!A:A"),结果表!B20,INDIRECT("'"&amp;C4&amp;"'"&amp;"!B:B"))</f>
        <v>6678</v>
      </c>
      <c r="D20" s="143">
        <f ca="1">SUMIF(INDIRECT("'"&amp;D4&amp;"'"&amp;"!A:A"),结果表!B20,INDIRECT("'"&amp;D4&amp;"'"&amp;"!B:B"))</f>
        <v>6791</v>
      </c>
      <c r="E20" s="1920"/>
      <c r="F20" s="1157" t="s">
        <v>1921</v>
      </c>
      <c r="G20" s="144">
        <f ca="1">ROUND(C20*$C$18+D20*$D$18,0)</f>
        <v>6735</v>
      </c>
      <c r="H20" s="917" t="s">
        <v>1922</v>
      </c>
      <c r="I20" s="134"/>
    </row>
    <row r="21" spans="1:36" ht="15" customHeight="1" thickBot="1">
      <c r="A21" s="937"/>
      <c r="B21" s="1921" t="s">
        <v>1923</v>
      </c>
      <c r="C21" s="728">
        <f ca="1">ROUND(C19*10000/L19,0)</f>
        <v>22807</v>
      </c>
      <c r="D21" s="729">
        <f ca="1">ROUND(D19*10000/L19,0)</f>
        <v>23191</v>
      </c>
      <c r="E21" s="937"/>
      <c r="F21" s="1921" t="s">
        <v>1923</v>
      </c>
      <c r="G21" s="145">
        <f ca="1">ROUND(G19*10000/L19,0)</f>
        <v>22999</v>
      </c>
      <c r="H21" s="1922" t="s">
        <v>1922</v>
      </c>
      <c r="I21" s="134"/>
    </row>
    <row r="22" spans="1:36" ht="15" thickBot="1">
      <c r="A22" s="1844" t="s">
        <v>1924</v>
      </c>
      <c r="B22" s="1923"/>
      <c r="C22" s="1924"/>
      <c r="D22" s="730">
        <f ca="1">IF(C19&lt;D19,D19/C19-1,C19/D19-1)</f>
        <v>1.6837685568004135E-2</v>
      </c>
      <c r="E22" s="134"/>
      <c r="F22" s="134"/>
      <c r="G22" s="134"/>
      <c r="H22" s="134"/>
      <c r="I22" s="134"/>
    </row>
    <row r="23" spans="1:36" ht="13.5" thickBot="1">
      <c r="A23" s="1903"/>
      <c r="B23" s="1903"/>
      <c r="C23" s="1903"/>
      <c r="D23" s="1903"/>
      <c r="E23" s="134"/>
      <c r="F23" s="134"/>
      <c r="G23" s="134"/>
      <c r="H23" s="134"/>
      <c r="I23" s="134"/>
    </row>
    <row r="24" spans="1:36" ht="14.25">
      <c r="A24" s="3556" t="s">
        <v>1925</v>
      </c>
      <c r="B24" s="1918" t="s">
        <v>1917</v>
      </c>
      <c r="C24" s="141">
        <f>IF(B30=0,0,D30)</f>
        <v>0</v>
      </c>
      <c r="D24" s="1925"/>
      <c r="E24" s="134"/>
      <c r="F24" s="134"/>
      <c r="G24" s="134"/>
      <c r="H24" s="134"/>
      <c r="I24" s="134"/>
    </row>
    <row r="25" spans="1:36" ht="14.25">
      <c r="A25" s="3557"/>
      <c r="B25" s="1157" t="s">
        <v>1921</v>
      </c>
      <c r="C25" s="146">
        <f>IF(B30=0,0,C30)</f>
        <v>0</v>
      </c>
      <c r="D25" s="1926"/>
      <c r="E25" s="134"/>
      <c r="F25" s="134"/>
      <c r="G25" s="134"/>
      <c r="H25" s="134"/>
      <c r="I25" s="134"/>
    </row>
    <row r="26" spans="1:36" ht="13.5" customHeight="1">
      <c r="A26" s="1927" t="s">
        <v>1926</v>
      </c>
      <c r="B26" s="147" t="s">
        <v>1927</v>
      </c>
      <c r="C26" s="147" t="s">
        <v>1928</v>
      </c>
      <c r="D26" s="148" t="s">
        <v>1929</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1930</v>
      </c>
      <c r="B30" s="147"/>
      <c r="C30" s="147"/>
      <c r="D30" s="147"/>
      <c r="E30" s="2491" t="s">
        <v>2815</v>
      </c>
      <c r="F30" s="134"/>
      <c r="G30" s="134"/>
      <c r="H30" s="134"/>
      <c r="I30" s="134"/>
    </row>
    <row r="31" spans="1:36" s="2497" customFormat="1" ht="26.45" customHeight="1" thickTop="1" thickBot="1">
      <c r="A31" s="2492"/>
      <c r="B31" s="2493"/>
      <c r="C31" s="2493"/>
      <c r="D31" s="2493"/>
      <c r="E31" s="2493"/>
      <c r="F31" s="2493"/>
      <c r="G31" s="2493"/>
      <c r="H31" s="2493"/>
      <c r="I31" s="2494" t="s">
        <v>2816</v>
      </c>
      <c r="J31" s="2888"/>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1931</v>
      </c>
      <c r="B32" s="1930"/>
      <c r="C32" s="149">
        <f ca="1">IF(D32="总价",G19-C24,G20-C25)</f>
        <v>47074</v>
      </c>
      <c r="D32" s="1931" t="s">
        <v>3200</v>
      </c>
      <c r="E32" s="134"/>
      <c r="F32" s="134"/>
      <c r="G32" s="134"/>
      <c r="H32" s="134"/>
      <c r="I32" s="134"/>
    </row>
    <row r="33" spans="1:15" ht="15">
      <c r="A33" s="894" t="s">
        <v>1932</v>
      </c>
      <c r="B33" s="1932"/>
      <c r="C33" s="1933" t="s">
        <v>3201</v>
      </c>
      <c r="D33" s="1934" t="s">
        <v>3202</v>
      </c>
      <c r="E33" s="1935" t="s">
        <v>1933</v>
      </c>
      <c r="F33" s="1936" t="str">
        <f>IF(D32="楼面单价","取值（单价）","取值（总价）")</f>
        <v>取值（总价）</v>
      </c>
      <c r="G33" s="134"/>
      <c r="H33" s="134"/>
      <c r="I33" s="134"/>
    </row>
    <row r="34" spans="1:15" ht="15">
      <c r="A34" s="1937"/>
      <c r="B34" s="1938" t="s">
        <v>1934</v>
      </c>
      <c r="C34" s="153">
        <f ca="1">IF(C33="自定义",F34,C32-C35)</f>
        <v>7626</v>
      </c>
      <c r="D34" s="970">
        <f ca="1">IF(C33="自定义",ROUND(C34/C32,3),IF(C33="收益比率",SUMIF(INDIRECT("'"&amp;D33&amp;"'"&amp;"!b:b"),"土地收益比率",INDIRECT("'"&amp;D33&amp;"'"&amp;"!c:c")),SUMIF(INDIRECT("'"&amp;D33&amp;"'"&amp;"!b:b"),"土地成本比率",INDIRECT("'"&amp;D33&amp;"'"&amp;"!c:c"))))</f>
        <v>0.16200000000000003</v>
      </c>
      <c r="E34" s="1939" t="s">
        <v>1935</v>
      </c>
      <c r="F34" s="1470"/>
      <c r="G34" s="134"/>
      <c r="H34" s="134"/>
      <c r="I34" s="134"/>
    </row>
    <row r="35" spans="1:15" ht="15.75" thickBot="1">
      <c r="A35" s="1940"/>
      <c r="B35" s="1941" t="s">
        <v>1936</v>
      </c>
      <c r="C35" s="1304">
        <f ca="1">IF(C33="自定义",F35,ROUND(C32*D35,0))</f>
        <v>39448</v>
      </c>
      <c r="D35" s="1305">
        <f ca="1">IF(C33="自定义",ROUND(C35/C32,3),IF(C33="收益比率",SUMIF(INDIRECT("'"&amp;D33&amp;"'"&amp;"!b:b"),"建筑物收益比率",INDIRECT("'"&amp;D33&amp;"'"&amp;"!c:c")),SUMIF(INDIRECT("'"&amp;D33&amp;"'"&amp;"!b:b"),"建筑物成本比率",INDIRECT("'"&amp;D33&amp;"'"&amp;"!c:c"))))</f>
        <v>0.83799999999999997</v>
      </c>
      <c r="E35" s="1942" t="s">
        <v>1937</v>
      </c>
      <c r="F35" s="159"/>
      <c r="G35" s="134"/>
      <c r="H35" s="134"/>
      <c r="I35" s="134"/>
    </row>
    <row r="36" spans="1:15" ht="15.75" thickBot="1">
      <c r="A36" s="3533" t="s">
        <v>1938</v>
      </c>
      <c r="B36" s="1943" t="s">
        <v>1939</v>
      </c>
      <c r="C36" s="150"/>
      <c r="D36" s="1944"/>
      <c r="E36" s="1945"/>
      <c r="F36" s="1946"/>
      <c r="G36" s="134"/>
      <c r="H36" s="134"/>
      <c r="I36" s="134"/>
    </row>
    <row r="37" spans="1:15" ht="15.75" thickBot="1">
      <c r="A37" s="3534"/>
      <c r="B37" s="1830" t="s">
        <v>1940</v>
      </c>
      <c r="C37" s="152"/>
      <c r="D37" s="1273"/>
      <c r="E37" s="1273"/>
      <c r="F37" s="1946"/>
      <c r="G37" s="134"/>
      <c r="H37" s="134"/>
      <c r="I37" s="134"/>
    </row>
    <row r="38" spans="1:15" ht="15.75" thickBot="1">
      <c r="A38" s="3535"/>
      <c r="B38" s="1947" t="s">
        <v>1941</v>
      </c>
      <c r="C38" s="683"/>
      <c r="D38" s="1948" t="s">
        <v>1942</v>
      </c>
      <c r="E38" s="1273"/>
      <c r="F38" s="1946"/>
      <c r="G38" s="134"/>
      <c r="H38" s="134"/>
      <c r="I38" s="134"/>
    </row>
    <row r="39" spans="1:15" ht="15">
      <c r="A39" s="1920" t="s">
        <v>1943</v>
      </c>
      <c r="B39" s="1949" t="s">
        <v>1944</v>
      </c>
      <c r="C39" s="1950" t="s">
        <v>1945</v>
      </c>
      <c r="D39" s="1950" t="s">
        <v>1946</v>
      </c>
      <c r="E39" s="1951" t="s">
        <v>1947</v>
      </c>
      <c r="F39" s="1946"/>
      <c r="G39" s="134"/>
      <c r="H39" s="134"/>
      <c r="I39" s="134"/>
    </row>
    <row r="40" spans="1:15" ht="14.25">
      <c r="A40" s="1952" t="s">
        <v>1948</v>
      </c>
      <c r="B40" s="154"/>
      <c r="C40" s="155"/>
      <c r="D40" s="155"/>
      <c r="E40" s="156"/>
      <c r="F40" s="1946"/>
      <c r="G40" s="134"/>
      <c r="H40" s="134"/>
      <c r="I40" s="134"/>
    </row>
    <row r="41" spans="1:15" ht="14.25">
      <c r="A41" s="1952" t="s">
        <v>1949</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1950</v>
      </c>
      <c r="B44" s="1957"/>
      <c r="C44" s="1957"/>
      <c r="D44" s="1958"/>
      <c r="E44" s="1958"/>
      <c r="F44" s="1959"/>
      <c r="G44" s="1959"/>
      <c r="H44" s="1959"/>
      <c r="I44" s="1959"/>
      <c r="J44" s="1960" t="s">
        <v>1951</v>
      </c>
      <c r="K44" s="1961"/>
      <c r="L44" s="1961"/>
      <c r="M44" s="1961"/>
      <c r="N44" s="1961"/>
      <c r="O44" s="1961"/>
    </row>
    <row r="45" spans="1:15" ht="14.25" customHeight="1" thickBot="1">
      <c r="A45" s="3553" t="s">
        <v>1952</v>
      </c>
      <c r="B45" s="3554"/>
      <c r="C45" s="3555"/>
      <c r="D45" s="160">
        <f ca="1">ROUND(H101*F45,0)</f>
        <v>47074</v>
      </c>
      <c r="E45" s="161" t="s">
        <v>1953</v>
      </c>
      <c r="F45" s="162">
        <v>1</v>
      </c>
      <c r="G45" s="163" t="s">
        <v>1954</v>
      </c>
      <c r="H45" s="134"/>
      <c r="I45" s="134"/>
      <c r="J45" s="3470" t="s">
        <v>1955</v>
      </c>
      <c r="K45" s="3470"/>
      <c r="L45" s="3470"/>
      <c r="M45" s="3470"/>
      <c r="N45" s="3470"/>
      <c r="O45" s="3470"/>
    </row>
    <row r="46" spans="1:15" ht="14.25" customHeight="1">
      <c r="A46" s="3550" t="s">
        <v>1956</v>
      </c>
      <c r="B46" s="3551"/>
      <c r="C46" s="3551"/>
      <c r="D46" s="3551"/>
      <c r="E46" s="3551"/>
      <c r="F46" s="3551"/>
      <c r="G46" s="3552"/>
      <c r="H46" s="1962"/>
      <c r="I46" s="164"/>
      <c r="J46" s="2719">
        <v>1</v>
      </c>
      <c r="K46" s="3471" t="s">
        <v>1957</v>
      </c>
      <c r="L46" s="3471"/>
      <c r="M46" s="3472"/>
      <c r="N46" s="3472"/>
      <c r="O46" s="3472"/>
    </row>
    <row r="47" spans="1:15" ht="12" customHeight="1">
      <c r="A47" s="165" t="s">
        <v>1958</v>
      </c>
      <c r="B47" s="166"/>
      <c r="C47" s="167"/>
      <c r="D47" s="1219" t="s">
        <v>1959</v>
      </c>
      <c r="E47" s="308" t="s">
        <v>1960</v>
      </c>
      <c r="F47" s="168" t="s">
        <v>1961</v>
      </c>
      <c r="G47" s="2742" t="s">
        <v>1962</v>
      </c>
      <c r="H47" s="2743"/>
      <c r="I47" s="164"/>
      <c r="J47" s="2719">
        <v>2</v>
      </c>
      <c r="K47" s="3471" t="s">
        <v>1963</v>
      </c>
      <c r="L47" s="3471"/>
      <c r="M47" s="3473">
        <f>'数据-取费表'!B2</f>
        <v>44543</v>
      </c>
      <c r="N47" s="3473"/>
      <c r="O47" s="3473"/>
    </row>
    <row r="48" spans="1:15" ht="25.5">
      <c r="A48" s="3536" t="s">
        <v>1964</v>
      </c>
      <c r="B48" s="3537"/>
      <c r="C48" s="3537"/>
      <c r="D48" s="2517" t="b">
        <f>IF(H48="情况1",0,IF(H48="情况2",D52,IF(H48="情况3",D53,IF(H48="情况4",D54))))</f>
        <v>0</v>
      </c>
      <c r="E48" s="2527" t="str">
        <f>IF(H48="情况4","(销售额-原购置价)×税（费）率","销售额×税（费）率")</f>
        <v>销售额×税（费）率</v>
      </c>
      <c r="F48" s="2744">
        <f>IF(H48="情况1","免征",'数据-取费表'!B41)</f>
        <v>5.5000000000000007E-2</v>
      </c>
      <c r="G48" s="2745" t="s">
        <v>1965</v>
      </c>
      <c r="H48" s="2746"/>
      <c r="I48" s="1962"/>
      <c r="J48" s="2719">
        <v>3</v>
      </c>
      <c r="K48" s="3471" t="s">
        <v>1966</v>
      </c>
      <c r="L48" s="3471"/>
      <c r="M48" s="3474">
        <f ca="1">H101</f>
        <v>47074</v>
      </c>
      <c r="N48" s="3474"/>
      <c r="O48" s="3474"/>
    </row>
    <row r="49" spans="1:35" ht="25.5" customHeight="1">
      <c r="A49" s="2526" t="s">
        <v>1967</v>
      </c>
      <c r="B49" s="3519" t="s">
        <v>1968</v>
      </c>
      <c r="C49" s="3519"/>
      <c r="D49" s="1745">
        <v>0</v>
      </c>
      <c r="E49" s="330" t="s">
        <v>1969</v>
      </c>
      <c r="F49" s="2620" t="s">
        <v>34</v>
      </c>
      <c r="G49" s="3502"/>
      <c r="H49" s="2498" t="s">
        <v>2817</v>
      </c>
      <c r="I49" s="2499"/>
      <c r="J49" s="2719">
        <v>4</v>
      </c>
      <c r="K49" s="3471" t="str">
        <f>IF(项目基本情况!E8="房地产抵押价值","房地产抵押价值","抵押担保权已注销时的房地产抵押价值")</f>
        <v>房地产抵押价值</v>
      </c>
      <c r="L49" s="3471"/>
      <c r="M49" s="3474">
        <f ca="1">IF(项目基本情况!E8="房地产抵押价值",H107,H109)</f>
        <v>47074</v>
      </c>
      <c r="N49" s="3474"/>
      <c r="O49" s="3474"/>
    </row>
    <row r="50" spans="1:35" ht="25.5" customHeight="1">
      <c r="A50" s="2747"/>
      <c r="B50" s="3519" t="s">
        <v>1970</v>
      </c>
      <c r="C50" s="3519"/>
      <c r="D50" s="2748"/>
      <c r="E50" s="338"/>
      <c r="F50" s="2620"/>
      <c r="G50" s="3503"/>
      <c r="H50" s="2500" t="s">
        <v>2818</v>
      </c>
      <c r="I50" s="2499"/>
      <c r="J50" s="3470" t="s">
        <v>1971</v>
      </c>
      <c r="K50" s="3470"/>
      <c r="L50" s="3470"/>
      <c r="M50" s="3470"/>
      <c r="N50" s="3470"/>
      <c r="O50" s="3470"/>
    </row>
    <row r="51" spans="1:35" ht="20.45" customHeight="1">
      <c r="A51" s="2749"/>
      <c r="B51" s="3519" t="s">
        <v>1972</v>
      </c>
      <c r="C51" s="3519"/>
      <c r="D51" s="1219"/>
      <c r="E51" s="333"/>
      <c r="F51" s="2620"/>
      <c r="G51" s="3504"/>
      <c r="H51" s="2500" t="s">
        <v>2819</v>
      </c>
      <c r="I51" s="2499"/>
      <c r="J51" s="2720" t="s">
        <v>1973</v>
      </c>
      <c r="K51" s="3471" t="s">
        <v>1974</v>
      </c>
      <c r="L51" s="3471"/>
      <c r="M51" s="2720" t="s">
        <v>1975</v>
      </c>
      <c r="N51" s="2720" t="s">
        <v>1976</v>
      </c>
      <c r="O51" s="2720" t="s">
        <v>1977</v>
      </c>
    </row>
    <row r="52" spans="1:35" ht="24" customHeight="1">
      <c r="A52" s="2528" t="s">
        <v>1978</v>
      </c>
      <c r="B52" s="3519" t="s">
        <v>1979</v>
      </c>
      <c r="C52" s="3519"/>
      <c r="D52" s="1219">
        <f ca="1">ROUND(D45*'数据-取费表'!B41/(1+'数据-取费表'!C42),0)</f>
        <v>2466</v>
      </c>
      <c r="E52" s="2527" t="s">
        <v>1980</v>
      </c>
      <c r="F52" s="2750">
        <f>'数据-取费表'!B41</f>
        <v>5.5000000000000007E-2</v>
      </c>
      <c r="G52" s="2751"/>
      <c r="H52" s="2740"/>
      <c r="I52" s="1963"/>
      <c r="J52" s="2719">
        <v>1</v>
      </c>
      <c r="K52" s="3496" t="s">
        <v>1981</v>
      </c>
      <c r="L52" s="3496"/>
      <c r="M52" s="2721" t="b">
        <f>D48</f>
        <v>0</v>
      </c>
      <c r="N52" s="2719" t="str">
        <f>E48</f>
        <v>销售额×税（费）率</v>
      </c>
      <c r="O52" s="2722">
        <f>F48</f>
        <v>5.5000000000000007E-2</v>
      </c>
    </row>
    <row r="53" spans="1:35" ht="12" customHeight="1">
      <c r="A53" s="2528" t="s">
        <v>1982</v>
      </c>
      <c r="B53" s="3520" t="s">
        <v>2978</v>
      </c>
      <c r="C53" s="3521"/>
      <c r="D53" s="1219">
        <f ca="1">ROUND(D45*'数据-取费表'!B41/(1+'数据-取费表'!C42),0)</f>
        <v>2466</v>
      </c>
      <c r="E53" s="2527" t="s">
        <v>1980</v>
      </c>
      <c r="F53" s="2750">
        <f>'数据-取费表'!B41</f>
        <v>5.5000000000000007E-2</v>
      </c>
      <c r="G53" s="2751"/>
      <c r="H53" s="2740"/>
      <c r="I53" s="1963"/>
      <c r="J53" s="2719">
        <v>2</v>
      </c>
      <c r="K53" s="3496" t="s">
        <v>1983</v>
      </c>
      <c r="L53" s="3496"/>
      <c r="M53" s="2721">
        <f t="shared" ref="M53:O54" ca="1" si="0">D55</f>
        <v>24</v>
      </c>
      <c r="N53" s="2719" t="str">
        <f t="shared" si="0"/>
        <v>销售额×税（费）率</v>
      </c>
      <c r="O53" s="2722" t="str">
        <f t="shared" si="0"/>
        <v>免征</v>
      </c>
    </row>
    <row r="54" spans="1:35" ht="12" customHeight="1">
      <c r="A54" s="2528" t="s">
        <v>1984</v>
      </c>
      <c r="B54" s="3520" t="s">
        <v>2979</v>
      </c>
      <c r="C54" s="3521"/>
      <c r="D54" s="1219">
        <f ca="1">C68</f>
        <v>2466</v>
      </c>
      <c r="E54" s="333" t="s">
        <v>1985</v>
      </c>
      <c r="F54" s="2750">
        <f>'数据-取费表'!B41</f>
        <v>5.5000000000000007E-2</v>
      </c>
      <c r="G54" s="2751"/>
      <c r="H54" s="2752"/>
      <c r="I54" s="1963"/>
      <c r="J54" s="2719">
        <v>3</v>
      </c>
      <c r="K54" s="3496" t="s">
        <v>1986</v>
      </c>
      <c r="L54" s="3496"/>
      <c r="M54" s="2721">
        <f t="shared" ca="1" si="0"/>
        <v>26686</v>
      </c>
      <c r="N54" s="2719" t="str">
        <f t="shared" si="0"/>
        <v>增值额×税（费）率</v>
      </c>
      <c r="O54" s="2723" t="str">
        <f t="shared" si="0"/>
        <v>免征</v>
      </c>
    </row>
    <row r="55" spans="1:35" ht="24" customHeight="1">
      <c r="A55" s="3559" t="s">
        <v>1987</v>
      </c>
      <c r="B55" s="3537"/>
      <c r="C55" s="3537"/>
      <c r="D55" s="2517">
        <f ca="1">IF(H55="个人住宅",0,ROUND(D45*I55,0))</f>
        <v>24</v>
      </c>
      <c r="E55" s="2527" t="s">
        <v>1988</v>
      </c>
      <c r="F55" s="2750" t="str">
        <f>IF(H55="正常",I55,"免征")</f>
        <v>免征</v>
      </c>
      <c r="G55" s="2751"/>
      <c r="H55" s="2746"/>
      <c r="I55" s="170">
        <f>'数据-取费表'!B49</f>
        <v>5.0000000000000001E-4</v>
      </c>
      <c r="J55" s="2719">
        <f>IF(H59="非个人房产","",4)</f>
        <v>4</v>
      </c>
      <c r="K55" s="3496" t="str">
        <f>IF(H59="非个人房产","——","个人所得税")</f>
        <v>个人所得税</v>
      </c>
      <c r="L55" s="3496"/>
      <c r="M55" s="2724">
        <f ca="1">D59</f>
        <v>448</v>
      </c>
      <c r="N55" s="2198" t="str">
        <f>E59</f>
        <v>差额计税</v>
      </c>
      <c r="O55" s="2725">
        <f>F59</f>
        <v>0.01</v>
      </c>
    </row>
    <row r="56" spans="1:35" ht="24.75">
      <c r="A56" s="3559" t="s">
        <v>1989</v>
      </c>
      <c r="B56" s="3537"/>
      <c r="C56" s="3537"/>
      <c r="D56" s="2517">
        <f ca="1">IF(H56="个人住宅",D57,D58)</f>
        <v>26686</v>
      </c>
      <c r="E56" s="2527" t="s">
        <v>1990</v>
      </c>
      <c r="F56" s="2750" t="str">
        <f>IF(H56="正常",F58,"免征")</f>
        <v>免征</v>
      </c>
      <c r="G56" s="2753" t="s">
        <v>1991</v>
      </c>
      <c r="H56" s="2754"/>
      <c r="I56" s="1964"/>
      <c r="J56" s="2719" t="str">
        <f>IF(项目基本情况!K6="上海银行",IF(J55="",4,J55+1),"")</f>
        <v/>
      </c>
      <c r="K56" s="3477" t="str">
        <f>IF(项目基本情况!K6="上海银行","其他处置费用","")</f>
        <v/>
      </c>
      <c r="L56" s="3478"/>
      <c r="M56" s="2721" t="str">
        <f>IF(项目基本情况!K6="上海银行",M69,"")</f>
        <v/>
      </c>
      <c r="N56" s="3477" t="str">
        <f>IF(项目基本情况!K6="上海银行","包含处置中涉及的律师、诉讼、拍卖、评估等费用","")</f>
        <v/>
      </c>
      <c r="O56" s="3480"/>
    </row>
    <row r="57" spans="1:35" ht="12.75">
      <c r="A57" s="2528" t="s">
        <v>1967</v>
      </c>
      <c r="B57" s="3520" t="s">
        <v>1992</v>
      </c>
      <c r="C57" s="3521"/>
      <c r="D57" s="1745">
        <v>0</v>
      </c>
      <c r="E57" s="330" t="s">
        <v>1969</v>
      </c>
      <c r="F57" s="308"/>
      <c r="G57" s="2751"/>
      <c r="H57" s="2755"/>
      <c r="I57" s="1964"/>
      <c r="J57" s="3496">
        <f>IF(AND(J55="",J56=""),4,IF(项目基本情况!K6="上海银行",结果表!J56+1,结果表!J55+1))</f>
        <v>5</v>
      </c>
      <c r="K57" s="3496" t="s">
        <v>1993</v>
      </c>
      <c r="L57" s="2726" t="s">
        <v>1994</v>
      </c>
      <c r="M57" s="2727"/>
      <c r="N57" s="2728">
        <f ca="1">SUMIF(M52:M56,"&lt;9e307")</f>
        <v>27158</v>
      </c>
      <c r="O57" s="2729"/>
      <c r="P57" s="2889">
        <f ca="1">N57/M49</f>
        <v>0.57692144283468583</v>
      </c>
    </row>
    <row r="58" spans="1:35" ht="24.75">
      <c r="A58" s="2528" t="s">
        <v>1978</v>
      </c>
      <c r="B58" s="3520" t="s">
        <v>1995</v>
      </c>
      <c r="C58" s="3519"/>
      <c r="D58" s="2517">
        <f ca="1">IF(H58="转让取得",C81,C97)</f>
        <v>26686</v>
      </c>
      <c r="E58" s="2527" t="s">
        <v>1990</v>
      </c>
      <c r="F58" s="308" t="s">
        <v>34</v>
      </c>
      <c r="G58" s="2751"/>
      <c r="H58" s="2754"/>
      <c r="I58" s="1964"/>
      <c r="J58" s="3496"/>
      <c r="K58" s="3496"/>
      <c r="L58" s="2726" t="s">
        <v>1996</v>
      </c>
      <c r="M58" s="2730"/>
      <c r="N58" s="2731" t="str">
        <f ca="1">NUMBERSTRING(INT(N57*10000),2)&amp;"元整"</f>
        <v>贰亿柒仟壹佰伍拾捌万元整</v>
      </c>
      <c r="O58" s="2732"/>
    </row>
    <row r="59" spans="1:35" ht="24.75" thickBot="1">
      <c r="A59" s="3500" t="s">
        <v>1997</v>
      </c>
      <c r="B59" s="3501"/>
      <c r="C59" s="3501"/>
      <c r="D59" s="2756">
        <f ca="1">IF(H59="非个人房产","——",IF(H59="个人住宅（满五唯一有凭证）",0,IF(H59="个人其他（无凭证）",ROUND(D45*F59,0),ROUND(C67*F59,0))))</f>
        <v>448</v>
      </c>
      <c r="E59" s="2757" t="str">
        <f>IF(H59="非个人房产","——",IF(H59="个人其他（无凭证）","销售额×税（费）率",IF(H59="个人住宅（满五唯一有凭证）","免征","差额计税")))</f>
        <v>差额计税</v>
      </c>
      <c r="F59" s="2758">
        <f>IF(OR(H59="非个人房产",H59="个人住宅（满五唯一有凭证）"),"——",IF(H59="个人其他（有凭证）",20%,1%))</f>
        <v>0.01</v>
      </c>
      <c r="G59" s="2759" t="s">
        <v>1991</v>
      </c>
      <c r="H59" s="2502"/>
      <c r="I59" s="2501" t="s">
        <v>2820</v>
      </c>
      <c r="J59" s="3498">
        <f>J57+1</f>
        <v>6</v>
      </c>
      <c r="K59" s="3496" t="s">
        <v>1998</v>
      </c>
      <c r="L59" s="2719" t="s">
        <v>1994</v>
      </c>
      <c r="M59" s="2733"/>
      <c r="N59" s="2734">
        <f ca="1">M49-N57</f>
        <v>19916</v>
      </c>
      <c r="O59" s="2735"/>
    </row>
    <row r="60" spans="1:35" ht="12" customHeight="1">
      <c r="A60" s="1965"/>
      <c r="B60" s="1903"/>
      <c r="C60" s="1903"/>
      <c r="D60" s="1903"/>
      <c r="E60" s="1733"/>
      <c r="F60" s="1964"/>
      <c r="G60" s="1964"/>
      <c r="H60" s="1966"/>
      <c r="I60" s="134"/>
      <c r="J60" s="3499"/>
      <c r="K60" s="3496"/>
      <c r="L60" s="2726" t="s">
        <v>1996</v>
      </c>
      <c r="M60" s="2730"/>
      <c r="N60" s="2731" t="str">
        <f ca="1">NUMBERSTRING(INT(N59*10000),2)&amp;"元整"</f>
        <v>壹亿玖仟玖佰壹拾陆万元整</v>
      </c>
      <c r="O60" s="2732"/>
    </row>
    <row r="61" spans="1:35" ht="13.5" thickBot="1">
      <c r="A61" s="3558" t="s">
        <v>1999</v>
      </c>
      <c r="B61" s="3558"/>
      <c r="C61" s="3558"/>
      <c r="D61" s="3558"/>
      <c r="E61" s="3558"/>
      <c r="F61" s="1964"/>
      <c r="G61" s="1964"/>
      <c r="H61" s="1966"/>
      <c r="I61" s="134"/>
      <c r="J61" s="2719">
        <f>J59+1</f>
        <v>7</v>
      </c>
      <c r="K61" s="3496" t="s">
        <v>2000</v>
      </c>
      <c r="L61" s="3496"/>
      <c r="M61" s="2736"/>
      <c r="N61" s="2737">
        <f ca="1">ROUND(N59*10000/'数据-汇总表'!E3,0)</f>
        <v>2849</v>
      </c>
      <c r="O61" s="2738"/>
    </row>
    <row r="62" spans="1:35" ht="12.75">
      <c r="A62" s="3515" t="s">
        <v>2001</v>
      </c>
      <c r="B62" s="3516"/>
      <c r="C62" s="2179"/>
      <c r="D62" s="2179" t="s">
        <v>2002</v>
      </c>
      <c r="E62" s="171" t="s">
        <v>2003</v>
      </c>
      <c r="F62" s="1964"/>
      <c r="G62" s="1964"/>
      <c r="H62" s="1966"/>
      <c r="I62" s="134"/>
    </row>
    <row r="63" spans="1:35" ht="12.75">
      <c r="A63" s="178" t="s">
        <v>775</v>
      </c>
      <c r="B63" s="172" t="s">
        <v>2004</v>
      </c>
      <c r="C63" s="2760">
        <f ca="1">ROUND((C64+C65)/(1+'数据-取费表'!C42),0)</f>
        <v>44832</v>
      </c>
      <c r="D63" s="172"/>
      <c r="E63" s="173"/>
      <c r="F63" s="1964"/>
      <c r="G63" s="1964"/>
      <c r="H63" s="1966"/>
      <c r="I63" s="134"/>
      <c r="J63" s="3479" t="s">
        <v>2005</v>
      </c>
      <c r="K63" s="1472" t="s">
        <v>2006</v>
      </c>
      <c r="L63" s="1472">
        <f ca="1">IF(M49&gt;10000,M49*0.5%,IF(AND(M49&gt;1000,M49&lt;=10000),M49*1%,IF(AND(M49&gt;100,M49&lt;=1000),M49*3%,IF(AND(M49&gt;10,M49&lt;=100),M49*5%,M49*8%))))</f>
        <v>235.37</v>
      </c>
      <c r="M63" s="308">
        <f ca="1">ROUND(L63,1)</f>
        <v>235.4</v>
      </c>
      <c r="N63" s="2739"/>
      <c r="Z63" s="1908"/>
      <c r="AI63" s="1909"/>
    </row>
    <row r="64" spans="1:35" ht="14.25" customHeight="1">
      <c r="A64" s="174" t="s">
        <v>770</v>
      </c>
      <c r="B64" s="175" t="s">
        <v>2007</v>
      </c>
      <c r="C64" s="2761">
        <f ca="1">D45</f>
        <v>47074</v>
      </c>
      <c r="D64" s="175" t="s">
        <v>32</v>
      </c>
      <c r="E64" s="177"/>
      <c r="F64" s="1964"/>
      <c r="G64" s="1964"/>
      <c r="H64" s="1966"/>
      <c r="I64" s="134"/>
      <c r="J64" s="3479"/>
      <c r="K64" s="1472" t="s">
        <v>2008</v>
      </c>
      <c r="L64" s="1472">
        <f ca="1">IF(M49&gt;2000,M49*0.5%,IF(AND(M49&gt;1000,M49&lt;=2000),M49*0.6%,IF(AND(M49&gt;500,M49&lt;=1000),M49*0.7%,IF(AND(M49&gt;200,M49&lt;=500),M49*0.8%,IF(AND(M49&gt;100,M49&lt;=200),M49*0.9%,IF(AND(M49&gt;50,M49&lt;=100),M49*1%,IF(AND(M49&gt;20,M49&lt;=50),M49*1.5%,IF(AND(M49&gt;10,M49&lt;=20),M49*2%,IF(AND(M49&gt;1,M49&lt;=10),M49*2.5%)))))))))</f>
        <v>235.37</v>
      </c>
      <c r="M64" s="308">
        <f t="shared" ref="M64:M65" ca="1" si="1">ROUND(L64,1)</f>
        <v>235.4</v>
      </c>
      <c r="N64" s="2740" t="s">
        <v>2009</v>
      </c>
      <c r="Z64" s="1908"/>
      <c r="AI64" s="1909"/>
    </row>
    <row r="65" spans="1:35" ht="14.25" customHeight="1">
      <c r="A65" s="174" t="s">
        <v>771</v>
      </c>
      <c r="B65" s="175" t="s">
        <v>2010</v>
      </c>
      <c r="C65" s="2762"/>
      <c r="D65" s="175"/>
      <c r="E65" s="177"/>
      <c r="F65" s="1964"/>
      <c r="G65" s="1964"/>
      <c r="H65" s="1966"/>
      <c r="I65" s="134"/>
      <c r="J65" s="3479"/>
      <c r="K65" s="1472" t="s">
        <v>2011</v>
      </c>
      <c r="L65" s="1472">
        <f ca="1">IF(M49&gt;1000,M49*0.1%,IF(AND(M49&gt;500,M49&lt;=1000),M49*0.5%,IF(AND(M49&gt;50,M49&lt;=500),M49*1%,IF(AND(M49&gt;1,M49&lt;=50),M49*1.5%))))</f>
        <v>47.073999999999998</v>
      </c>
      <c r="M65" s="308">
        <f t="shared" ca="1" si="1"/>
        <v>47.1</v>
      </c>
      <c r="N65" s="2740" t="s">
        <v>2009</v>
      </c>
      <c r="Z65" s="1908"/>
      <c r="AI65" s="1909"/>
    </row>
    <row r="66" spans="1:35" ht="14.25" customHeight="1">
      <c r="A66" s="178" t="s">
        <v>772</v>
      </c>
      <c r="B66" s="179" t="s">
        <v>2012</v>
      </c>
      <c r="C66" s="2763"/>
      <c r="D66" s="179" t="s">
        <v>32</v>
      </c>
      <c r="E66" s="1479" t="s">
        <v>1277</v>
      </c>
      <c r="F66" s="1964"/>
      <c r="G66" s="1964"/>
      <c r="H66" s="1966"/>
      <c r="I66" s="134"/>
      <c r="J66" s="3479"/>
      <c r="K66" s="1472" t="s">
        <v>2013</v>
      </c>
      <c r="L66" s="1472">
        <f ca="1">M49*0.5%</f>
        <v>235.37</v>
      </c>
      <c r="M66" s="308">
        <f ca="1">IF(L66&gt;0.5,0.5,ROUND(L66,0))</f>
        <v>0.5</v>
      </c>
      <c r="N66" s="2740" t="s">
        <v>2014</v>
      </c>
      <c r="Z66" s="1908"/>
      <c r="AI66" s="1909"/>
    </row>
    <row r="67" spans="1:35" ht="14.25" customHeight="1">
      <c r="A67" s="178" t="s">
        <v>773</v>
      </c>
      <c r="B67" s="179" t="s">
        <v>2015</v>
      </c>
      <c r="C67" s="2764">
        <f ca="1">C63-C66</f>
        <v>44832</v>
      </c>
      <c r="D67" s="175" t="s">
        <v>32</v>
      </c>
      <c r="E67" s="177"/>
      <c r="F67" s="1964"/>
      <c r="G67" s="1964"/>
      <c r="H67" s="1966"/>
      <c r="I67" s="134"/>
      <c r="J67" s="3479"/>
      <c r="K67" s="1472" t="s">
        <v>2016</v>
      </c>
      <c r="L67" s="1472">
        <f ca="1">IF(M49&gt;=10000,(8.25+(M49-10000)*0.01%),IF(AND(M49&gt;=8000,M49&lt;10000),(7.85+(M49-8000)*0.02%),IF(AND(M49&gt;=5000,M49&lt;8000),(6.65+(M49-5000)*0.04%),IF(AND(M49&gt;=2000,M49&lt;5000),(4.25+(PM49-2000)*0.08%),IF(AND(M49&gt;=1000,M49&lt;2000),(2.75+(M49-1000)*0.15%),IF(AND(M49&gt;=100,M49&lt;1000),(0.5+(M49-100)*0.25%),IF(AND(M49&gt;0,M49&lt;100),M49*0.5%)))))))</f>
        <v>11.9574</v>
      </c>
      <c r="M67" s="308">
        <f ca="1">ROUND(L67*0.9,1)</f>
        <v>10.8</v>
      </c>
      <c r="N67" s="2739"/>
      <c r="Z67" s="1908"/>
      <c r="AI67" s="1909"/>
    </row>
    <row r="68" spans="1:35" ht="14.25" customHeight="1" thickBot="1">
      <c r="A68" s="181" t="s">
        <v>774</v>
      </c>
      <c r="B68" s="182" t="s">
        <v>2017</v>
      </c>
      <c r="C68" s="2765">
        <f ca="1">IF(C67&lt;=0,0,ROUND(C67*D68,0))</f>
        <v>2466</v>
      </c>
      <c r="D68" s="2766">
        <f>'数据-取费表'!B41</f>
        <v>5.5000000000000007E-2</v>
      </c>
      <c r="E68" s="184"/>
      <c r="F68" s="1964"/>
      <c r="G68" s="1964"/>
      <c r="H68" s="1966"/>
      <c r="I68" s="134"/>
      <c r="J68" s="3479"/>
      <c r="K68" s="1472" t="s">
        <v>2018</v>
      </c>
      <c r="L68" s="1472">
        <f ca="1">IF(M49&gt;10000,M49*0.5%,IF(AND(M49&gt;5000,M49&lt;=10000),M49*1%,IF(AND(M49&gt;1000,M49&lt;=5000),M49*2%,IF(AND(M49&gt;200,M49&lt;=1000),M49*3%,M49*5%))))</f>
        <v>235.37</v>
      </c>
      <c r="M68" s="308">
        <f ca="1">ROUND(L68,1)</f>
        <v>235.4</v>
      </c>
      <c r="N68" s="2739"/>
      <c r="Z68" s="1908"/>
      <c r="AI68" s="1909"/>
    </row>
    <row r="69" spans="1:35" s="1928" customFormat="1" ht="16.5" customHeight="1">
      <c r="A69" s="1967"/>
      <c r="B69" s="1968"/>
      <c r="C69" s="1969"/>
      <c r="D69" s="1970"/>
      <c r="E69" s="1971"/>
      <c r="F69" s="1733"/>
      <c r="G69" s="1733"/>
      <c r="H69" s="1732"/>
      <c r="I69" s="1903"/>
      <c r="J69" s="3479"/>
      <c r="K69" s="1472" t="s">
        <v>2019</v>
      </c>
      <c r="L69" s="1472"/>
      <c r="M69" s="308">
        <f ca="1">ROUND(SUM(M63:M68),0)</f>
        <v>765</v>
      </c>
      <c r="N69" s="2741">
        <f ca="1">M69/M49</f>
        <v>1.6251009049581509E-2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523" t="s">
        <v>2020</v>
      </c>
      <c r="B70" s="3524"/>
      <c r="C70" s="3524"/>
      <c r="D70" s="3524"/>
      <c r="E70" s="3524"/>
      <c r="F70" s="3524"/>
      <c r="G70" s="3524"/>
      <c r="H70" s="3524"/>
      <c r="I70" s="1972"/>
      <c r="J70" s="2890"/>
      <c r="K70" s="2890"/>
      <c r="L70" s="2890"/>
      <c r="M70" s="2890"/>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515" t="s">
        <v>2001</v>
      </c>
      <c r="B71" s="3516"/>
      <c r="C71" s="2179"/>
      <c r="D71" s="2179" t="s">
        <v>2002</v>
      </c>
      <c r="E71" s="185" t="s">
        <v>2003</v>
      </c>
      <c r="F71" s="186"/>
      <c r="G71" s="186"/>
      <c r="H71" s="187"/>
      <c r="I71" s="1976"/>
      <c r="J71" s="2890"/>
      <c r="K71" s="2890"/>
      <c r="L71" s="2890"/>
      <c r="M71" s="2890"/>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2021</v>
      </c>
      <c r="C72" s="2764">
        <f ca="1">ROUND(D45/(1+'数据-取费表'!C42),0)</f>
        <v>44832</v>
      </c>
      <c r="D72" s="175" t="s">
        <v>32</v>
      </c>
      <c r="E72" s="2524"/>
      <c r="F72" s="2523"/>
      <c r="G72" s="2523"/>
      <c r="H72" s="188"/>
      <c r="I72" s="1976"/>
      <c r="J72" s="2890"/>
      <c r="K72" s="2890"/>
      <c r="L72" s="2890"/>
      <c r="M72" s="2890"/>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2022</v>
      </c>
      <c r="C73" s="2764">
        <f ca="1">C74+C78</f>
        <v>224</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2023</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2024</v>
      </c>
      <c r="C75" s="2767"/>
      <c r="D75" s="175" t="s">
        <v>32</v>
      </c>
      <c r="E75" s="190" t="s">
        <v>2025</v>
      </c>
      <c r="F75" s="2768"/>
      <c r="G75" s="190" t="s">
        <v>2026</v>
      </c>
      <c r="H75" s="2769"/>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2027</v>
      </c>
      <c r="C76" s="175">
        <f>IF(F75="购房发票",ROUND(C75*H75*D76,0),0)</f>
        <v>0</v>
      </c>
      <c r="D76" s="2770">
        <v>0.05</v>
      </c>
      <c r="E76" s="3520" t="s">
        <v>2028</v>
      </c>
      <c r="F76" s="3519"/>
      <c r="G76" s="3519"/>
      <c r="H76" s="3522"/>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2029</v>
      </c>
      <c r="C77" s="175">
        <f>ROUND(IF(G77="个人住宅",0,IF(G77="2016年5月1日前购买",C75*D77,C75*D77/(1+'数据-取费表'!C42))),0)</f>
        <v>0</v>
      </c>
      <c r="D77" s="2771">
        <f>'数据-取费表'!B48+'数据-取费表'!B49</f>
        <v>3.0499999999999999E-2</v>
      </c>
      <c r="E77" s="2517" t="s">
        <v>2030</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2031</v>
      </c>
      <c r="C78" s="2772">
        <f ca="1">ROUND(D45*D78/(1+'数据-取费表'!C42),0)</f>
        <v>224</v>
      </c>
      <c r="D78" s="2773">
        <f>'数据-取费表'!B43</f>
        <v>5.000000000000001E-3</v>
      </c>
      <c r="E78" s="3512" t="s">
        <v>2032</v>
      </c>
      <c r="F78" s="3513"/>
      <c r="G78" s="3513"/>
      <c r="H78" s="3514"/>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2033</v>
      </c>
      <c r="C79" s="2764">
        <f ca="1">C72-C73</f>
        <v>44608</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2034</v>
      </c>
      <c r="C80" s="2774">
        <f ca="1">IF(C79&lt;=0,0,C79/C73)</f>
        <v>199.14285714285714</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2035</v>
      </c>
      <c r="C81" s="2775">
        <f ca="1">ROUND(IF(C79&lt;=0,0,IF(C80&gt;=200%,C79*60%-C73*35%,IF(C80&gt;=100%,C79*50%-C73*15%,IF(C80&gt;=50%,C79*40%-C73*5%,IF(C80&lt;50%,C79*30%,0))))),0)</f>
        <v>26686</v>
      </c>
      <c r="D81" s="277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523" t="s">
        <v>2036</v>
      </c>
      <c r="B83" s="3524"/>
      <c r="C83" s="3524"/>
      <c r="D83" s="3524"/>
      <c r="E83" s="3524"/>
      <c r="F83" s="3524"/>
      <c r="G83" s="3524"/>
      <c r="H83" s="3524"/>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515" t="s">
        <v>2001</v>
      </c>
      <c r="B84" s="3516"/>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2021</v>
      </c>
      <c r="C85" s="2764">
        <f ca="1">ROUND(D45/(1+'数据-取费表'!C42),0)</f>
        <v>44832</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2022</v>
      </c>
      <c r="C86" s="2764">
        <f ca="1">IF(H88="仅含出让金",C87+C90+C91+C92+C93+C94,C87+C91+C92+C93+C94)</f>
        <v>224</v>
      </c>
      <c r="D86" s="2777"/>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2037</v>
      </c>
      <c r="C87" s="2772">
        <f>C88+C89</f>
        <v>0</v>
      </c>
      <c r="D87" s="2773"/>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2038</v>
      </c>
      <c r="C88" s="2778"/>
      <c r="D88" s="2773"/>
      <c r="E88" s="199" t="s">
        <v>2039</v>
      </c>
      <c r="F88" s="2520"/>
      <c r="G88" s="200" t="s">
        <v>2040</v>
      </c>
      <c r="H88" s="1980"/>
      <c r="I88" s="1977"/>
      <c r="J88" s="2717" t="s">
        <v>2975</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2029</v>
      </c>
      <c r="C89" s="2772">
        <f>ROUND(C88*D89,0)</f>
        <v>0</v>
      </c>
      <c r="D89" s="2773">
        <f>'数据-取费表'!B48+'数据-取费表'!B49</f>
        <v>3.0499999999999999E-2</v>
      </c>
      <c r="E89" s="199" t="s">
        <v>2041</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2042</v>
      </c>
      <c r="C90" s="2778"/>
      <c r="D90" s="2773"/>
      <c r="E90" s="199" t="str">
        <f>IF(H88="-","土地取得成本中已包含该笔费用"," ")</f>
        <v xml:space="preserve"> </v>
      </c>
      <c r="F90" s="2520"/>
      <c r="G90" s="3481" t="s">
        <v>2812</v>
      </c>
      <c r="H90" s="3482"/>
      <c r="I90" s="1977"/>
      <c r="J90" s="2717" t="s">
        <v>2976</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2043</v>
      </c>
      <c r="B91" s="175" t="s">
        <v>2044</v>
      </c>
      <c r="C91" s="2772">
        <f>IF(H91="——",成本法!C33,I91)</f>
        <v>0</v>
      </c>
      <c r="D91" s="2773"/>
      <c r="E91" s="3512" t="s">
        <v>2045</v>
      </c>
      <c r="F91" s="3513"/>
      <c r="G91" s="3513"/>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2046</v>
      </c>
      <c r="B92" s="175" t="s">
        <v>2047</v>
      </c>
      <c r="C92" s="2772">
        <f>ROUND((C87+C90+C91)*D92,0)</f>
        <v>0</v>
      </c>
      <c r="D92" s="2779"/>
      <c r="E92" s="3512" t="s">
        <v>2048</v>
      </c>
      <c r="F92" s="3513"/>
      <c r="G92" s="3513"/>
      <c r="H92" s="3514"/>
      <c r="I92" s="1977"/>
      <c r="J92" s="2718" t="s">
        <v>2977</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2049</v>
      </c>
      <c r="B93" s="175" t="s">
        <v>2031</v>
      </c>
      <c r="C93" s="2772">
        <f ca="1">ROUND(D45*D93/(1+'数据-取费表'!C42),0)</f>
        <v>224</v>
      </c>
      <c r="D93" s="2773">
        <f>'数据-取费表'!B43</f>
        <v>5.000000000000001E-3</v>
      </c>
      <c r="E93" s="3512" t="s">
        <v>2032</v>
      </c>
      <c r="F93" s="3513"/>
      <c r="G93" s="3513"/>
      <c r="H93" s="3514"/>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2050</v>
      </c>
      <c r="B94" s="175" t="s">
        <v>2051</v>
      </c>
      <c r="C94" s="2778">
        <f>ROUND((C87+C90+C91)*D94,0)</f>
        <v>0</v>
      </c>
      <c r="D94" s="2773">
        <v>0.2</v>
      </c>
      <c r="E94" s="3560" t="s">
        <v>2052</v>
      </c>
      <c r="F94" s="3561"/>
      <c r="G94" s="3561"/>
      <c r="H94" s="3562"/>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2033</v>
      </c>
      <c r="C95" s="2764">
        <f ca="1">ROUND(C85-C86,0)</f>
        <v>44608</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2034</v>
      </c>
      <c r="C96" s="2774">
        <f ca="1">IF(C95&lt;=0,0,C95/C86)</f>
        <v>199.14285714285714</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2035</v>
      </c>
      <c r="C97" s="2775">
        <f ca="1">ROUND(IF(C95&lt;=0,0,IF(C96&gt;=200%,C95*60%-C86*35%,IF(C96&gt;=100%,C95*50%-C86*15%,IF(C96&gt;=50%,C95*40%-C86*5%,IF(C96&lt;50%,C95*30%,0))))),0)</f>
        <v>26686</v>
      </c>
      <c r="D97" s="277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462" t="s">
        <v>2054</v>
      </c>
      <c r="B100" s="3463"/>
      <c r="C100" s="3463"/>
      <c r="D100" s="3497"/>
      <c r="E100" s="3463" t="s">
        <v>2055</v>
      </c>
      <c r="F100" s="3463"/>
      <c r="G100" s="3463"/>
      <c r="H100" s="3497"/>
      <c r="I100" s="134"/>
    </row>
    <row r="101" spans="1:35" ht="18.75" customHeight="1">
      <c r="A101" s="3505" t="s">
        <v>2056</v>
      </c>
      <c r="B101" s="3506"/>
      <c r="C101" s="2781" t="str">
        <f>C4</f>
        <v>成本法</v>
      </c>
      <c r="D101" s="2782" t="str">
        <f>D4</f>
        <v>收益法（汇总）</v>
      </c>
      <c r="E101" s="3475" t="s">
        <v>2057</v>
      </c>
      <c r="F101" s="3476"/>
      <c r="G101" s="1983" t="s">
        <v>2058</v>
      </c>
      <c r="H101" s="2791">
        <f ca="1">H118</f>
        <v>47074</v>
      </c>
      <c r="I101" s="134"/>
    </row>
    <row r="102" spans="1:35" ht="18.75" customHeight="1">
      <c r="A102" s="3507" t="s">
        <v>2059</v>
      </c>
      <c r="B102" s="2780" t="s">
        <v>2058</v>
      </c>
      <c r="C102" s="2781">
        <f ca="1">C19</f>
        <v>46681</v>
      </c>
      <c r="D102" s="2782">
        <f ca="1">D19</f>
        <v>47467</v>
      </c>
      <c r="E102" s="3475"/>
      <c r="F102" s="3476"/>
      <c r="G102" s="1983" t="s">
        <v>2060</v>
      </c>
      <c r="H102" s="2751">
        <f ca="1">I118</f>
        <v>6735</v>
      </c>
      <c r="I102" s="134"/>
    </row>
    <row r="103" spans="1:35" ht="42.75" customHeight="1">
      <c r="A103" s="3507"/>
      <c r="B103" s="2780" t="s">
        <v>2060</v>
      </c>
      <c r="C103" s="2783">
        <f ca="1">C20</f>
        <v>6678</v>
      </c>
      <c r="D103" s="2784">
        <f ca="1">D20</f>
        <v>6791</v>
      </c>
      <c r="E103" s="3468" t="s">
        <v>2061</v>
      </c>
      <c r="F103" s="3469"/>
      <c r="G103" s="1984" t="s">
        <v>2062</v>
      </c>
      <c r="H103" s="2791">
        <f>IF(D36="正常操作",H104+H105+H106,H105+H106)</f>
        <v>0</v>
      </c>
      <c r="I103" s="134"/>
    </row>
    <row r="104" spans="1:35" ht="18.75" customHeight="1">
      <c r="A104" s="3507" t="s">
        <v>2063</v>
      </c>
      <c r="B104" s="2785" t="s">
        <v>2058</v>
      </c>
      <c r="C104" s="2786">
        <f ca="1">H118</f>
        <v>47074</v>
      </c>
      <c r="D104" s="2787"/>
      <c r="E104" s="1830" t="s">
        <v>2064</v>
      </c>
      <c r="F104" s="1821"/>
      <c r="G104" s="1984" t="s">
        <v>2062</v>
      </c>
      <c r="H104" s="2792">
        <f>IF(D36="同一抵押权人同一抵押物续贷",C36&amp;"（续贷，未扣减，详见特别提示）",C36)</f>
        <v>0</v>
      </c>
      <c r="I104" s="134"/>
    </row>
    <row r="105" spans="1:35" ht="18.75" customHeight="1" thickBot="1">
      <c r="A105" s="3517"/>
      <c r="B105" s="2788" t="s">
        <v>2060</v>
      </c>
      <c r="C105" s="2789">
        <f ca="1">I118</f>
        <v>6735</v>
      </c>
      <c r="D105" s="2790"/>
      <c r="E105" s="1830" t="s">
        <v>2065</v>
      </c>
      <c r="F105" s="1821"/>
      <c r="G105" s="1984" t="s">
        <v>2062</v>
      </c>
      <c r="H105" s="2793">
        <f>C37</f>
        <v>0</v>
      </c>
      <c r="I105" s="134"/>
    </row>
    <row r="106" spans="1:35" ht="18.75" customHeight="1">
      <c r="A106" s="1903" t="s">
        <v>2066</v>
      </c>
      <c r="B106" s="1903"/>
      <c r="C106" s="1903"/>
      <c r="D106" s="1903"/>
      <c r="E106" s="1985" t="s">
        <v>2067</v>
      </c>
      <c r="F106" s="1821"/>
      <c r="G106" s="1984" t="s">
        <v>2062</v>
      </c>
      <c r="H106" s="2793">
        <f>C38</f>
        <v>0</v>
      </c>
      <c r="I106" s="134"/>
    </row>
    <row r="107" spans="1:35" ht="18.75" customHeight="1">
      <c r="A107" s="134"/>
      <c r="B107" s="134"/>
      <c r="C107" s="134"/>
      <c r="D107" s="134"/>
      <c r="E107" s="3508" t="str">
        <f>IF(项目基本情况!E8="已注销","——","3.房地产抵押价值")</f>
        <v>3.房地产抵押价值</v>
      </c>
      <c r="F107" s="3476"/>
      <c r="G107" s="1983" t="s">
        <v>2058</v>
      </c>
      <c r="H107" s="2791">
        <f ca="1">IF(E107="——","——",H101-H103)</f>
        <v>47074</v>
      </c>
      <c r="I107" s="134"/>
    </row>
    <row r="108" spans="1:35" ht="18.75" customHeight="1">
      <c r="A108" s="134"/>
      <c r="B108" s="134"/>
      <c r="C108" s="134"/>
      <c r="D108" s="134"/>
      <c r="E108" s="3508"/>
      <c r="F108" s="3476"/>
      <c r="G108" s="1983" t="s">
        <v>2060</v>
      </c>
      <c r="H108" s="2751">
        <f ca="1">ROUND(H107*10000/'数据-汇总表'!E3,0)</f>
        <v>6735</v>
      </c>
      <c r="I108" s="134"/>
    </row>
    <row r="109" spans="1:35" ht="18.75" customHeight="1">
      <c r="A109" s="134"/>
      <c r="B109" s="134"/>
      <c r="C109" s="134"/>
      <c r="D109" s="134"/>
      <c r="E109" s="3508" t="str">
        <f>IF(项目基本情况!E8="已注销及未注销","4.抵押担保权已注销时的房地产抵押价值",IF(项目基本情况!E8="已注销","3.抵押担保权已注销时的房地产抵押价值","——"))</f>
        <v>——</v>
      </c>
      <c r="F109" s="3476"/>
      <c r="G109" s="1983" t="s">
        <v>2058</v>
      </c>
      <c r="H109" s="2794" t="str">
        <f>IF(E109="——","——",H101-H105-H106)</f>
        <v>——</v>
      </c>
      <c r="I109" s="134"/>
    </row>
    <row r="110" spans="1:35" ht="18.75" customHeight="1">
      <c r="A110" s="134"/>
      <c r="B110" s="134"/>
      <c r="C110" s="134"/>
      <c r="D110" s="134"/>
      <c r="E110" s="3508"/>
      <c r="F110" s="3476"/>
      <c r="G110" s="1983" t="s">
        <v>2060</v>
      </c>
      <c r="H110" s="2751" t="str">
        <f>IF(H109="——","——",ROUND(H109*10000/'数据-汇总表'!E3,0))</f>
        <v>——</v>
      </c>
      <c r="I110" s="134"/>
    </row>
    <row r="111" spans="1:35" ht="18.75" customHeight="1">
      <c r="A111" s="134"/>
      <c r="B111" s="134"/>
      <c r="C111" s="134"/>
      <c r="D111" s="134"/>
      <c r="E111" s="3509" t="str">
        <f>IF(项目基本情况!E9="抵押净值",IF(OR(项目基本情况!E8="已注销",项目基本情况!E8="房地产抵押价值"),"4.抵押净值","5.抵押净值"),"——")</f>
        <v>——</v>
      </c>
      <c r="F111" s="3495"/>
      <c r="G111" s="1983" t="s">
        <v>2058</v>
      </c>
      <c r="H111" s="2791" t="str">
        <f>IF(E111="——","——",N59)</f>
        <v>——</v>
      </c>
      <c r="I111" s="134"/>
    </row>
    <row r="112" spans="1:35" ht="18.75" customHeight="1" thickBot="1">
      <c r="A112" s="134"/>
      <c r="B112" s="134"/>
      <c r="C112" s="134"/>
      <c r="D112" s="134"/>
      <c r="E112" s="3510"/>
      <c r="F112" s="3511"/>
      <c r="G112" s="1986" t="s">
        <v>2060</v>
      </c>
      <c r="H112" s="2795" t="str">
        <f>IF(E111="——","——",N61)</f>
        <v>——</v>
      </c>
      <c r="I112" s="134"/>
    </row>
    <row r="113" spans="1:27" ht="18.75" customHeight="1">
      <c r="A113" s="134"/>
      <c r="B113" s="134"/>
      <c r="C113" s="134"/>
      <c r="D113" s="134"/>
      <c r="E113" s="3518" t="s">
        <v>2066</v>
      </c>
      <c r="F113" s="3518"/>
      <c r="G113" s="3518"/>
      <c r="H113" s="3518"/>
      <c r="I113" s="134"/>
    </row>
    <row r="114" spans="1:27" ht="3.75" customHeight="1">
      <c r="A114" s="1903"/>
      <c r="B114" s="1903"/>
      <c r="C114" s="1903"/>
      <c r="D114" s="1903"/>
      <c r="E114" s="1965"/>
      <c r="F114" s="1965"/>
      <c r="G114" s="1965"/>
      <c r="H114" s="1965"/>
      <c r="I114" s="1903"/>
    </row>
    <row r="115" spans="1:27" ht="18.75" customHeight="1">
      <c r="A115" s="3529" t="s">
        <v>2068</v>
      </c>
      <c r="B115" s="3530"/>
      <c r="C115" s="3530"/>
      <c r="D115" s="3530"/>
      <c r="E115" s="3530"/>
      <c r="F115" s="3530"/>
      <c r="G115" s="3530"/>
      <c r="H115" s="3530"/>
      <c r="I115" s="3531"/>
    </row>
    <row r="116" spans="1:27" ht="27" customHeight="1">
      <c r="A116" s="3483" t="s">
        <v>2069</v>
      </c>
      <c r="B116" s="3487" t="s">
        <v>2070</v>
      </c>
      <c r="C116" s="3487" t="s">
        <v>2071</v>
      </c>
      <c r="D116" s="3493" t="s">
        <v>2072</v>
      </c>
      <c r="E116" s="3494"/>
      <c r="F116" s="3525" t="s">
        <v>2073</v>
      </c>
      <c r="G116" s="3525"/>
      <c r="H116" s="3483" t="s">
        <v>2074</v>
      </c>
      <c r="I116" s="3483"/>
    </row>
    <row r="117" spans="1:27" ht="18.75" customHeight="1">
      <c r="A117" s="3483"/>
      <c r="B117" s="3488"/>
      <c r="C117" s="3488"/>
      <c r="D117" s="2522" t="s">
        <v>2075</v>
      </c>
      <c r="E117" s="2522" t="s">
        <v>2076</v>
      </c>
      <c r="F117" s="2522" t="s">
        <v>2075</v>
      </c>
      <c r="G117" s="2522" t="s">
        <v>2077</v>
      </c>
      <c r="H117" s="2522" t="s">
        <v>2075</v>
      </c>
      <c r="I117" s="2522" t="s">
        <v>2077</v>
      </c>
    </row>
    <row r="118" spans="1:27" ht="24.75" customHeight="1">
      <c r="A118" s="2796" t="str">
        <f>项目基本情况!S2</f>
        <v>房地产</v>
      </c>
      <c r="B118" s="2522">
        <f>M18</f>
        <v>69898.900000000009</v>
      </c>
      <c r="C118" s="2522">
        <f>M19</f>
        <v>20467.919999999998</v>
      </c>
      <c r="D118" s="2522">
        <f ca="1">ROUND(IF(D32="总价",C34,E118*B118/10000),0)</f>
        <v>7626</v>
      </c>
      <c r="E118" s="2522">
        <f ca="1">ROUND(IF(C33="自定义",IF(D32="楼面单价",C34,D118*10000/B118),I118-G118),0)</f>
        <v>1091</v>
      </c>
      <c r="F118" s="2522">
        <f ca="1">ROUND(IF(D32="总价",C35,G118*B118/10000),0)</f>
        <v>39448</v>
      </c>
      <c r="G118" s="2522">
        <f ca="1">ROUND(IF(D32="楼面单价",C35,F118*10000/B118),0)</f>
        <v>5644</v>
      </c>
      <c r="H118" s="2522">
        <f ca="1">ROUND(IF(D32="总价",C32,I118*B118/10000),0)</f>
        <v>47074</v>
      </c>
      <c r="I118" s="2522">
        <f ca="1">ROUND(IF(D32="楼面单价",C32,H118*10000/B118),0)</f>
        <v>6735</v>
      </c>
    </row>
    <row r="119" spans="1:27" ht="18.75" customHeight="1">
      <c r="A119" s="3483" t="s">
        <v>2078</v>
      </c>
      <c r="B119" s="3483"/>
      <c r="C119" s="3483"/>
      <c r="D119" s="3489" t="str">
        <f ca="1">NUMBERSTRING(INT(D118*10000),2)&amp;"元整"</f>
        <v>柒仟陆佰贰拾陆万元整</v>
      </c>
      <c r="E119" s="3490"/>
      <c r="F119" s="3489" t="str">
        <f ca="1">NUMBERSTRING(INT(F118*10000),2)&amp;"元整"</f>
        <v>叁亿玖仟肆佰肆拾捌万元整</v>
      </c>
      <c r="G119" s="3490"/>
      <c r="H119" s="3489" t="str">
        <f ca="1">NUMBERSTRING(INT(H118*10000),2)&amp;"元整"</f>
        <v>肆亿柒仟零柒拾肆万元整</v>
      </c>
      <c r="I119" s="3490"/>
    </row>
    <row r="120" spans="1:27" ht="18.75" customHeight="1">
      <c r="A120" s="3484" t="str">
        <f>IF(项目基本情况!B9="房地产市场价值","",MID(E103,3,LEN(E103)-2))</f>
        <v>估价师知悉的法定优先受偿款</v>
      </c>
      <c r="B120" s="3485"/>
      <c r="C120" s="3486"/>
      <c r="D120" s="3484">
        <f>H103</f>
        <v>0</v>
      </c>
      <c r="E120" s="3485"/>
      <c r="F120" s="3485"/>
      <c r="G120" s="3485"/>
      <c r="H120" s="3485"/>
      <c r="I120" s="3486"/>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526" t="s">
        <v>2078</v>
      </c>
      <c r="B121" s="3527"/>
      <c r="C121" s="3528"/>
      <c r="D121" s="3489" t="str">
        <f>IF(D120=0,"零元整",NUMBERSTRING(INT(D120*10000),2)&amp;"元整")</f>
        <v>零元整</v>
      </c>
      <c r="E121" s="3491"/>
      <c r="F121" s="3491"/>
      <c r="G121" s="3491"/>
      <c r="H121" s="3491"/>
      <c r="I121" s="3490"/>
      <c r="AA121" s="734"/>
    </row>
    <row r="122" spans="1:27" ht="18.75" customHeight="1">
      <c r="A122" s="3495" t="str">
        <f>IF(项目基本情况!B9="房地产市场价值","",MID(E107,3,LEN(E107)-2))</f>
        <v>房地产抵押价值</v>
      </c>
      <c r="B122" s="3495"/>
      <c r="C122" s="3495"/>
      <c r="D122" s="3484">
        <f ca="1">H107</f>
        <v>47074</v>
      </c>
      <c r="E122" s="3485"/>
      <c r="F122" s="3485"/>
      <c r="G122" s="3485"/>
      <c r="H122" s="3485"/>
      <c r="I122" s="3486"/>
      <c r="AA122" s="734"/>
    </row>
    <row r="123" spans="1:27" ht="18.75" customHeight="1">
      <c r="A123" s="3483" t="s">
        <v>2078</v>
      </c>
      <c r="B123" s="3483"/>
      <c r="C123" s="3483"/>
      <c r="D123" s="3489" t="str">
        <f ca="1">NUMBERSTRING(INT(D122*10000),2)&amp;"元整"</f>
        <v>肆亿柒仟零柒拾肆万元整</v>
      </c>
      <c r="E123" s="3491"/>
      <c r="F123" s="3491"/>
      <c r="G123" s="3491"/>
      <c r="H123" s="3491"/>
      <c r="I123" s="3490"/>
      <c r="AA123" s="734"/>
    </row>
    <row r="124" spans="1:27" ht="18.75" customHeight="1">
      <c r="A124" s="3495" t="str">
        <f>IF(项目基本情况!B9="房地产市场价值","",MID(E109,3,LEN(E109)-2))</f>
        <v/>
      </c>
      <c r="B124" s="3495"/>
      <c r="C124" s="3495"/>
      <c r="D124" s="3484" t="str">
        <f>H109</f>
        <v>——</v>
      </c>
      <c r="E124" s="3485"/>
      <c r="F124" s="3485"/>
      <c r="G124" s="3485"/>
      <c r="H124" s="3485"/>
      <c r="I124" s="3486"/>
      <c r="AA124" s="734"/>
    </row>
    <row r="125" spans="1:27" ht="18.75" customHeight="1">
      <c r="A125" s="3483" t="s">
        <v>2078</v>
      </c>
      <c r="B125" s="3483"/>
      <c r="C125" s="3483"/>
      <c r="D125" s="3489" t="e">
        <f>NUMBERSTRING(INT(D124*10000),2)&amp;"元整"</f>
        <v>#VALUE!</v>
      </c>
      <c r="E125" s="3491"/>
      <c r="F125" s="3491"/>
      <c r="G125" s="3491"/>
      <c r="H125" s="3491"/>
      <c r="I125" s="3490"/>
      <c r="AA125" s="734"/>
    </row>
    <row r="126" spans="1:27" ht="18.75" customHeight="1">
      <c r="A126" s="3495" t="str">
        <f>IF(项目基本情况!B9="房地产市场价值","",MID(E111,3,LEN(E111)-2))</f>
        <v/>
      </c>
      <c r="B126" s="3495"/>
      <c r="C126" s="3495"/>
      <c r="D126" s="3484" t="str">
        <f>H111</f>
        <v>——</v>
      </c>
      <c r="E126" s="3485"/>
      <c r="F126" s="3485"/>
      <c r="G126" s="3485"/>
      <c r="H126" s="3485"/>
      <c r="I126" s="3486"/>
      <c r="AA126" s="734"/>
    </row>
    <row r="127" spans="1:27" ht="18.75" customHeight="1">
      <c r="A127" s="3483" t="s">
        <v>2078</v>
      </c>
      <c r="B127" s="3483"/>
      <c r="C127" s="3483"/>
      <c r="D127" s="3489" t="e">
        <f>NUMBERSTRING(INT(D126*10000),2)&amp;"元整"</f>
        <v>#VALUE!</v>
      </c>
      <c r="E127" s="3491"/>
      <c r="F127" s="3491"/>
      <c r="G127" s="3491"/>
      <c r="H127" s="3491"/>
      <c r="I127" s="3490"/>
      <c r="AA127" s="734"/>
    </row>
    <row r="128" spans="1:27" ht="21.75" customHeight="1">
      <c r="A128" s="3492" t="s">
        <v>2079</v>
      </c>
      <c r="B128" s="3492"/>
      <c r="C128" s="3492"/>
      <c r="D128" s="3492"/>
      <c r="E128" s="3492"/>
      <c r="F128" s="3492"/>
      <c r="G128" s="3492"/>
      <c r="H128" s="3492"/>
      <c r="I128" s="3492"/>
      <c r="AA128" s="734"/>
    </row>
    <row r="129" spans="1:35" ht="21.75" customHeight="1">
      <c r="A129" s="1987" t="s">
        <v>2080</v>
      </c>
      <c r="B129" s="1988"/>
      <c r="C129" s="1989" t="s">
        <v>2081</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2082</v>
      </c>
      <c r="G135" s="2004"/>
      <c r="H135" s="2004"/>
      <c r="I135" s="2005" t="s">
        <v>2083</v>
      </c>
    </row>
    <row r="136" spans="1:35" ht="21.75" customHeight="1">
      <c r="A136" s="734"/>
      <c r="B136" s="2006"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2085</v>
      </c>
    </row>
    <row r="139" spans="1:35" ht="21.75" customHeight="1">
      <c r="A139" s="734"/>
      <c r="B139" s="2006" t="s">
        <v>2086</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2085</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350" t="str">
        <f>项目基本情况!B1</f>
        <v>房地产抵押价值预评估</v>
      </c>
      <c r="C37" s="3350"/>
      <c r="D37" s="3350"/>
      <c r="E37" s="3350"/>
      <c r="F37" s="3350"/>
      <c r="G37" s="3350"/>
      <c r="H37" s="3350"/>
      <c r="I37" s="3350"/>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项目基本情况!K4</f>
        <v>（注册号：0)、（注册号：0)</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F19" sqref="F1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4"/>
      <c r="C1" s="204"/>
      <c r="D1" s="204"/>
      <c r="E1" s="204"/>
      <c r="F1" s="204"/>
      <c r="G1" s="1260">
        <f>MATCH(B1,'数据-取费表'!A6:A16,0)+5</f>
        <v>8</v>
      </c>
    </row>
    <row r="2" spans="1:9" s="206" customFormat="1" ht="18" customHeight="1">
      <c r="A2" s="207" t="s">
        <v>2088</v>
      </c>
      <c r="B2" s="208">
        <f ca="1">IF(D2="——",C52,C52-E2)</f>
        <v>46681</v>
      </c>
      <c r="C2" s="205" t="s">
        <v>2089</v>
      </c>
      <c r="D2" s="2009" t="s">
        <v>70</v>
      </c>
      <c r="E2" s="1303" t="e">
        <f ca="1">SUMIF(INDIRECT("'"&amp;G2&amp;"'"&amp;"!A:A"),"承租人权益价值",INDIRECT("'"&amp;G2&amp;"'"&amp;"!c:c"))</f>
        <v>#REF!</v>
      </c>
      <c r="F2" s="2010" t="s">
        <v>2089</v>
      </c>
      <c r="G2" s="2011"/>
    </row>
    <row r="3" spans="1:9" s="206" customFormat="1" ht="18" customHeight="1" thickBot="1">
      <c r="A3" s="209" t="s">
        <v>2090</v>
      </c>
      <c r="B3" s="210">
        <f ca="1">ROUND(B2*10000/(IF(B1="",'数据-汇总表'!E3,INDIRECT("'数据-取费表'!k"&amp;$G$1))),0)</f>
        <v>6678</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5297</v>
      </c>
      <c r="D5" s="217" t="s">
        <v>2095</v>
      </c>
      <c r="E5" s="218" t="s">
        <v>2096</v>
      </c>
      <c r="F5" s="218" t="s">
        <v>2097</v>
      </c>
      <c r="G5" s="219"/>
    </row>
    <row r="6" spans="1:9" s="220" customFormat="1" ht="13.5" customHeight="1">
      <c r="A6" s="886" t="s">
        <v>2098</v>
      </c>
      <c r="B6" s="221" t="s">
        <v>2099</v>
      </c>
      <c r="C6" s="222">
        <f>'土地比较法-住宅、综合'!B2</f>
        <v>3173</v>
      </c>
      <c r="D6" s="223"/>
      <c r="E6" s="224"/>
      <c r="F6" s="224"/>
      <c r="G6" s="225"/>
    </row>
    <row r="7" spans="1:9" s="220" customFormat="1" ht="13.5" customHeight="1">
      <c r="A7" s="886" t="s">
        <v>2100</v>
      </c>
      <c r="B7" s="221" t="s">
        <v>2101</v>
      </c>
      <c r="C7" s="226">
        <f>ROUND(C6*F7,0)</f>
        <v>97</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2027</v>
      </c>
      <c r="D8" s="228"/>
      <c r="E8" s="226"/>
      <c r="F8" s="227"/>
      <c r="G8" s="2012" t="s">
        <v>3210</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0</v>
      </c>
      <c r="F9" s="227"/>
      <c r="G9" s="2013" t="s">
        <v>3211</v>
      </c>
      <c r="H9" s="1271"/>
      <c r="I9" s="2014" t="s">
        <v>2105</v>
      </c>
    </row>
    <row r="10" spans="1:9" s="220" customFormat="1" ht="13.5" customHeight="1">
      <c r="A10" s="887" t="s">
        <v>801</v>
      </c>
      <c r="B10" s="230" t="s">
        <v>2106</v>
      </c>
      <c r="C10" s="231">
        <f ca="1">ROUND(D10*E10/10000,0)</f>
        <v>2027</v>
      </c>
      <c r="D10" s="954">
        <f ca="1">IF(B1="",'数据-汇总表'!E6,IF(INDIRECT("'数据-取费表'!c"&amp;$G$1)="住宅",INDIRECT("'数据-取费表'!s"&amp;$G$1),INDIRECT("'数据-取费表'!k"&amp;$G$1)+INDIRECT("'数据-取费表'!s"&amp;$G$1)))</f>
        <v>69898.900000000009</v>
      </c>
      <c r="E10" s="231">
        <f>'数据-取费表'!B28</f>
        <v>290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69898.900000000009</v>
      </c>
      <c r="E19" s="217">
        <f>'数据-取费表'!B31</f>
        <v>200</v>
      </c>
      <c r="F19" s="237"/>
      <c r="G19" s="2012" t="s">
        <v>3212</v>
      </c>
    </row>
    <row r="20" spans="1:7" s="220" customFormat="1" ht="13.5" customHeight="1">
      <c r="A20" s="261" t="s">
        <v>2119</v>
      </c>
      <c r="B20" s="216" t="s">
        <v>2120</v>
      </c>
      <c r="C20" s="238">
        <f ca="1">ROUND((C5+C19)*F20,0)</f>
        <v>106</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476</v>
      </c>
      <c r="D22" s="241">
        <f ca="1">C26</f>
        <v>8.9999999999999998E-4</v>
      </c>
      <c r="E22" s="242" t="s">
        <v>2124</v>
      </c>
      <c r="F22" s="243">
        <f ca="1">'数据-取费表'!B40</f>
        <v>4.3499999999999997E-2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471</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5</v>
      </c>
      <c r="D25" s="244"/>
      <c r="E25" s="247"/>
      <c r="F25" s="245"/>
      <c r="G25" s="248" t="s">
        <v>2136</v>
      </c>
    </row>
    <row r="26" spans="1:7" s="220" customFormat="1">
      <c r="A26" s="888" t="s">
        <v>795</v>
      </c>
      <c r="B26" s="221" t="s">
        <v>2137</v>
      </c>
      <c r="C26" s="244">
        <f ca="1">ROUND(IF('数据-取费表'!B22&lt;=1,F21*F22*'数据-取费表'!B23/2,F21*(POWER((1+F22),'数据-取费表'!B23/2)-1)),4)</f>
        <v>8.9999999999999998E-4</v>
      </c>
      <c r="D26" s="244"/>
      <c r="E26" s="247"/>
      <c r="F26" s="245"/>
      <c r="G26" s="249"/>
    </row>
    <row r="27" spans="1:7" s="220" customFormat="1" ht="24.75">
      <c r="A27" s="261" t="s">
        <v>2138</v>
      </c>
      <c r="B27" s="250" t="s">
        <v>2139</v>
      </c>
      <c r="C27" s="251">
        <f ca="1">C28</f>
        <v>1081</v>
      </c>
      <c r="D27" s="241">
        <f ca="1">C29</f>
        <v>4.0000000000000001E-3</v>
      </c>
      <c r="E27" s="242" t="s">
        <v>2140</v>
      </c>
      <c r="F27" s="252">
        <f ca="1">IF(B1="",'数据-取费表'!Q16,INDIRECT("'数据-取费表'!q"&amp;$G$1))</f>
        <v>0.2</v>
      </c>
      <c r="G27" s="253" t="s">
        <v>2141</v>
      </c>
    </row>
    <row r="28" spans="1:7" s="220" customFormat="1" ht="13.5" customHeight="1">
      <c r="A28" s="888" t="s">
        <v>791</v>
      </c>
      <c r="B28" s="254" t="s">
        <v>2142</v>
      </c>
      <c r="C28" s="255">
        <f ca="1">ROUND((C5+C19+C20)*F27*'数据-取费表'!B21/'数据-取费表'!B20,0)</f>
        <v>1081</v>
      </c>
      <c r="D28" s="241"/>
      <c r="E28" s="242"/>
      <c r="F28" s="252"/>
      <c r="G28" s="253"/>
    </row>
    <row r="29" spans="1:7" s="220" customFormat="1" ht="13.5" customHeight="1">
      <c r="A29" s="888" t="s">
        <v>792</v>
      </c>
      <c r="B29" s="254" t="s">
        <v>2143</v>
      </c>
      <c r="C29" s="244">
        <f ca="1">ROUND(C21*F27*'数据-取费表'!B21/'数据-取费表'!B20,4)</f>
        <v>4.0000000000000001E-3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7543</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30615</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27959</v>
      </c>
      <c r="D34" s="223"/>
      <c r="E34" s="226"/>
      <c r="F34" s="263">
        <f ca="1">IF('数据-取费表'!B24=0,1,IF(B1="",'数据-取费表'!N16,INDIRECT("'数据-取费表'!n"&amp;$G$1)))</f>
        <v>1</v>
      </c>
      <c r="G34" s="225" t="s">
        <v>2152</v>
      </c>
    </row>
    <row r="35" spans="1:7" ht="13.5" customHeight="1">
      <c r="A35" s="888" t="s">
        <v>796</v>
      </c>
      <c r="B35" s="221" t="s">
        <v>2153</v>
      </c>
      <c r="C35" s="226">
        <f ca="1">ROUND(C34*F35,0)</f>
        <v>839</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2156</v>
      </c>
    </row>
    <row r="37" spans="1:7" s="264" customFormat="1" ht="13.5" customHeight="1">
      <c r="A37" s="888" t="s">
        <v>798</v>
      </c>
      <c r="B37" s="221" t="s">
        <v>2157</v>
      </c>
      <c r="C37" s="255">
        <f ca="1">ROUND(E37*D37*F34/10000,0)</f>
        <v>1398</v>
      </c>
      <c r="D37" s="223">
        <f ca="1">D19</f>
        <v>69898.900000000009</v>
      </c>
      <c r="E37" s="255">
        <f>'数据-取费表'!B35</f>
        <v>200</v>
      </c>
      <c r="F37" s="265"/>
      <c r="G37" s="267" t="s">
        <v>2158</v>
      </c>
    </row>
    <row r="38" spans="1:7" ht="13.5" customHeight="1">
      <c r="A38" s="888" t="s">
        <v>799</v>
      </c>
      <c r="B38" s="221" t="s">
        <v>2159</v>
      </c>
      <c r="C38" s="226">
        <f ca="1">ROUND(C34*F38,0)</f>
        <v>419</v>
      </c>
      <c r="D38" s="226"/>
      <c r="E38" s="226"/>
      <c r="F38" s="265">
        <f>'数据-取费表'!B36</f>
        <v>1.4999999999999999E-2</v>
      </c>
      <c r="G38" s="225" t="s">
        <v>2154</v>
      </c>
    </row>
    <row r="39" spans="1:7" s="220" customFormat="1" ht="13.5" customHeight="1">
      <c r="A39" s="261" t="s">
        <v>2160</v>
      </c>
      <c r="B39" s="216" t="s">
        <v>2161</v>
      </c>
      <c r="C39" s="238">
        <f ca="1">ROUND(C33*F20,0)</f>
        <v>612</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1359</v>
      </c>
      <c r="D41" s="241">
        <f ca="1">C44</f>
        <v>8.9999999999999998E-4</v>
      </c>
      <c r="E41" s="242" t="s">
        <v>2165</v>
      </c>
      <c r="F41" s="2506">
        <f ca="1">F22</f>
        <v>4.3499999999999997E-2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1332</v>
      </c>
      <c r="D42" s="244"/>
      <c r="E42" s="244"/>
      <c r="F42" s="245"/>
      <c r="G42" s="3565" t="s">
        <v>2170</v>
      </c>
    </row>
    <row r="43" spans="1:7" ht="13.5" customHeight="1">
      <c r="A43" s="888" t="s">
        <v>792</v>
      </c>
      <c r="B43" s="221" t="s">
        <v>2171</v>
      </c>
      <c r="C43" s="244">
        <f ca="1">ROUND(IF('数据-取费表'!B22&lt;=1,C39*F22*'数据-取费表'!B21/2,C39*(POWER((1+F22),'数据-取费表'!B21/2)-1)),0)</f>
        <v>27</v>
      </c>
      <c r="D43" s="244"/>
      <c r="E43" s="244"/>
      <c r="F43" s="245"/>
      <c r="G43" s="3566"/>
    </row>
    <row r="44" spans="1:7" ht="13.5" customHeight="1">
      <c r="A44" s="888" t="s">
        <v>793</v>
      </c>
      <c r="B44" s="221" t="s">
        <v>2172</v>
      </c>
      <c r="C44" s="244">
        <f ca="1">ROUND(IF('数据-取费表'!B22&lt;=1,C40*F22*'数据-取费表'!B21/2,C40*(POWER((1+F22),'数据-取费表'!B21/2)-1)),4)</f>
        <v>8.9999999999999998E-4</v>
      </c>
      <c r="D44" s="244"/>
      <c r="E44" s="244"/>
      <c r="F44" s="245"/>
      <c r="G44" s="3567"/>
    </row>
    <row r="45" spans="1:7" s="220" customFormat="1" ht="13.5" customHeight="1">
      <c r="A45" s="261" t="s">
        <v>2173</v>
      </c>
      <c r="B45" s="250" t="s">
        <v>2139</v>
      </c>
      <c r="C45" s="251">
        <f ca="1">C46</f>
        <v>6245</v>
      </c>
      <c r="D45" s="241">
        <f ca="1">C47</f>
        <v>4.0000000000000001E-3</v>
      </c>
      <c r="E45" s="242" t="s">
        <v>2165</v>
      </c>
      <c r="F45" s="2507">
        <f ca="1">F27</f>
        <v>0.2</v>
      </c>
      <c r="G45" s="253" t="s">
        <v>2174</v>
      </c>
    </row>
    <row r="46" spans="1:7" s="220" customFormat="1" ht="13.5" customHeight="1">
      <c r="A46" s="888" t="s">
        <v>791</v>
      </c>
      <c r="B46" s="254" t="s">
        <v>2175</v>
      </c>
      <c r="C46" s="255">
        <f ca="1">ROUND((C33+C39)*F27,0)</f>
        <v>6245</v>
      </c>
      <c r="D46" s="269"/>
      <c r="E46" s="242"/>
      <c r="F46" s="252"/>
      <c r="G46" s="253"/>
    </row>
    <row r="47" spans="1:7" s="220" customFormat="1" ht="13.5" customHeight="1">
      <c r="A47" s="888" t="s">
        <v>792</v>
      </c>
      <c r="B47" s="254" t="s">
        <v>2176</v>
      </c>
      <c r="C47" s="244">
        <f ca="1">ROUND(C40*F27,4)</f>
        <v>4.0000000000000001E-3</v>
      </c>
      <c r="D47" s="269"/>
      <c r="E47" s="242"/>
      <c r="F47" s="252"/>
      <c r="G47" s="253"/>
    </row>
    <row r="48" spans="1:7" s="220" customFormat="1" ht="13.5" customHeight="1">
      <c r="A48" s="261" t="s">
        <v>2138</v>
      </c>
      <c r="B48" s="216" t="s">
        <v>2177</v>
      </c>
      <c r="C48" s="1467">
        <f>ROUND(F30/(1+'数据-取费表'!C42),4)</f>
        <v>5.2400000000000002E-2</v>
      </c>
      <c r="D48" s="242" t="s">
        <v>2165</v>
      </c>
      <c r="E48" s="238"/>
      <c r="F48" s="2506">
        <f>F30</f>
        <v>5.5000000000000007E-2</v>
      </c>
      <c r="G48" s="240" t="s">
        <v>2178</v>
      </c>
    </row>
    <row r="49" spans="1:7" ht="16.5" customHeight="1">
      <c r="A49" s="261" t="s">
        <v>2144</v>
      </c>
      <c r="B49" s="216" t="s">
        <v>2179</v>
      </c>
      <c r="C49" s="238">
        <f ca="1">ROUND((C33+C39+C41+C45)/(1-C40-D41-D45-C48),0)</f>
        <v>42084</v>
      </c>
      <c r="D49" s="238"/>
      <c r="E49" s="238"/>
      <c r="F49" s="270"/>
      <c r="G49" s="240" t="s">
        <v>2180</v>
      </c>
    </row>
    <row r="50" spans="1:7" s="264" customFormat="1" ht="24">
      <c r="A50" s="261" t="s">
        <v>2181</v>
      </c>
      <c r="B50" s="216" t="s">
        <v>2182</v>
      </c>
      <c r="C50" s="238"/>
      <c r="D50" s="238"/>
      <c r="E50" s="238"/>
      <c r="F50" s="270">
        <f>IF('数据-取费表'!B24=0,'数据-取费表'!N16,1)</f>
        <v>0.93</v>
      </c>
      <c r="G50" s="253" t="s">
        <v>2183</v>
      </c>
    </row>
    <row r="51" spans="1:7" ht="16.5" customHeight="1">
      <c r="A51" s="261" t="s">
        <v>2184</v>
      </c>
      <c r="B51" s="216" t="s">
        <v>2185</v>
      </c>
      <c r="C51" s="238">
        <f ca="1">ROUND(C49*F50,0)</f>
        <v>39138</v>
      </c>
      <c r="D51" s="238"/>
      <c r="E51" s="238"/>
      <c r="F51" s="270"/>
      <c r="G51" s="240" t="s">
        <v>2186</v>
      </c>
    </row>
    <row r="52" spans="1:7" s="214" customFormat="1" ht="16.5" thickBot="1">
      <c r="A52" s="271" t="s">
        <v>2187</v>
      </c>
      <c r="B52" s="272"/>
      <c r="C52" s="273">
        <f ca="1">C31+C51</f>
        <v>46681</v>
      </c>
      <c r="D52" s="272"/>
      <c r="E52" s="272"/>
      <c r="F52" s="272"/>
      <c r="G52" s="274"/>
    </row>
    <row r="55" spans="1:7" ht="15">
      <c r="B55" s="276" t="s">
        <v>2188</v>
      </c>
      <c r="C55" s="277"/>
    </row>
    <row r="56" spans="1:7">
      <c r="B56" s="279" t="s">
        <v>1418</v>
      </c>
      <c r="C56" s="281">
        <f ca="1">1-C57</f>
        <v>0.16200000000000003</v>
      </c>
    </row>
    <row r="57" spans="1:7">
      <c r="B57" s="279" t="s">
        <v>1419</v>
      </c>
      <c r="C57" s="280">
        <f ca="1">ROUND(C51/C52,3)</f>
        <v>0.83799999999999997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3" zoomScale="80" zoomScaleNormal="60" zoomScaleSheetLayoutView="80" workbookViewId="0">
      <selection activeCell="M46" sqref="M46"/>
    </sheetView>
  </sheetViews>
  <sheetFormatPr defaultColWidth="9" defaultRowHeight="14.25"/>
  <cols>
    <col min="1" max="1" width="14.375" style="363" customWidth="1"/>
    <col min="2" max="2" width="15.75" style="363" customWidth="1"/>
    <col min="3" max="3" width="1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f>F66</f>
        <v>3173</v>
      </c>
      <c r="C2" s="1038"/>
      <c r="D2" s="1038"/>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c r="AD2" s="357"/>
    </row>
    <row r="3" spans="1:30" s="358" customFormat="1" ht="28.5" customHeight="1" thickBot="1">
      <c r="A3" s="209" t="s">
        <v>2090</v>
      </c>
      <c r="B3" s="566">
        <f>ROUND(IF(D3="",B2*10000/'数据-汇总表'!E3,B2*10000/D3),0)</f>
        <v>454</v>
      </c>
      <c r="C3" s="209" t="s">
        <v>2507</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30" ht="15">
      <c r="A4" s="361" t="s">
        <v>2406</v>
      </c>
      <c r="B4" s="362"/>
      <c r="C4" s="3586" t="s">
        <v>2407</v>
      </c>
      <c r="D4" s="3587"/>
      <c r="E4" s="3588" t="s">
        <v>2408</v>
      </c>
      <c r="F4" s="3589"/>
      <c r="G4" s="3586" t="s">
        <v>2409</v>
      </c>
      <c r="H4" s="3587"/>
      <c r="I4" s="3586" t="s">
        <v>2410</v>
      </c>
      <c r="J4" s="3587"/>
      <c r="K4" s="567" t="s">
        <v>2411</v>
      </c>
      <c r="L4" s="2914"/>
      <c r="M4" s="2915"/>
      <c r="N4" s="2915"/>
      <c r="O4" s="2915"/>
      <c r="P4" s="3590" t="s">
        <v>2412</v>
      </c>
      <c r="Q4" s="3591"/>
      <c r="R4" s="3573" t="s">
        <v>2408</v>
      </c>
      <c r="S4" s="3574"/>
      <c r="T4" s="3573" t="s">
        <v>2409</v>
      </c>
      <c r="U4" s="3574"/>
      <c r="V4" s="3598" t="s">
        <v>2410</v>
      </c>
      <c r="W4" s="3598"/>
      <c r="X4" s="1509"/>
      <c r="Y4" s="3573" t="s">
        <v>2412</v>
      </c>
      <c r="Z4" s="3574"/>
      <c r="AA4" s="3568" t="s">
        <v>2408</v>
      </c>
      <c r="AB4" s="3569" t="s">
        <v>2409</v>
      </c>
      <c r="AC4" s="3568" t="s">
        <v>2410</v>
      </c>
    </row>
    <row r="5" spans="1:30" ht="15">
      <c r="A5" s="364"/>
      <c r="B5" s="365"/>
      <c r="C5" s="3579" t="s">
        <v>2303</v>
      </c>
      <c r="D5" s="3580"/>
      <c r="E5" s="3577" t="str">
        <f>Sheet3!A2</f>
        <v>三江街道</v>
      </c>
      <c r="F5" s="3578"/>
      <c r="G5" s="3579" t="str">
        <f>Sheet3!A4</f>
        <v>郭扶镇</v>
      </c>
      <c r="H5" s="3580"/>
      <c r="I5" s="3579" t="str">
        <f>Sheet3!A5</f>
        <v>关坝镇坪坝村</v>
      </c>
      <c r="J5" s="3580"/>
      <c r="K5" s="567"/>
      <c r="L5" s="2914"/>
      <c r="M5" s="2915"/>
      <c r="N5" s="2915"/>
      <c r="O5" s="2915"/>
      <c r="P5" s="3592"/>
      <c r="Q5" s="3593"/>
      <c r="R5" s="3575"/>
      <c r="S5" s="3576"/>
      <c r="T5" s="3575"/>
      <c r="U5" s="3576"/>
      <c r="V5" s="3598"/>
      <c r="W5" s="3598"/>
      <c r="X5" s="1509"/>
      <c r="Y5" s="3575"/>
      <c r="Z5" s="3576"/>
      <c r="AA5" s="3569"/>
      <c r="AB5" s="3569"/>
      <c r="AC5" s="3569"/>
    </row>
    <row r="6" spans="1:30" ht="15.75" thickBot="1">
      <c r="A6" s="366"/>
      <c r="B6" s="367"/>
      <c r="C6" s="3581" t="s">
        <v>2307</v>
      </c>
      <c r="D6" s="3582"/>
      <c r="E6" s="3583" t="s">
        <v>2307</v>
      </c>
      <c r="F6" s="3584"/>
      <c r="G6" s="3581" t="s">
        <v>2307</v>
      </c>
      <c r="H6" s="3582"/>
      <c r="I6" s="3581" t="s">
        <v>2307</v>
      </c>
      <c r="J6" s="3582"/>
      <c r="K6" s="567" t="s">
        <v>2308</v>
      </c>
      <c r="L6" s="2914"/>
      <c r="M6" s="2915"/>
      <c r="N6" s="2915"/>
      <c r="O6" s="2915"/>
      <c r="P6" s="3594"/>
      <c r="Q6" s="3595"/>
      <c r="R6" s="3575"/>
      <c r="S6" s="3576"/>
      <c r="T6" s="3596"/>
      <c r="U6" s="3597"/>
      <c r="V6" s="3598"/>
      <c r="W6" s="3598"/>
      <c r="X6" s="1509"/>
      <c r="Y6" s="3596"/>
      <c r="Z6" s="3597"/>
      <c r="AA6" s="3570"/>
      <c r="AB6" s="3570"/>
      <c r="AC6" s="3570"/>
    </row>
    <row r="7" spans="1:30" s="113" customFormat="1" ht="15.75" thickBot="1">
      <c r="A7" s="368" t="s">
        <v>2309</v>
      </c>
      <c r="B7" s="369"/>
      <c r="C7" s="370">
        <f>'数据-取费表'!B2</f>
        <v>44543</v>
      </c>
      <c r="D7" s="371">
        <v>100</v>
      </c>
      <c r="E7" s="372" t="str">
        <f>Sheet3!K2</f>
        <v>2021-03-01</v>
      </c>
      <c r="F7" s="373">
        <f>SUMIF(70:70,YEAR(E7)&amp;"-"&amp;INT((MONTH(E7)+2)/3),71:71)</f>
        <v>98.5</v>
      </c>
      <c r="G7" s="2130" t="str">
        <f>Sheet3!K4</f>
        <v>2019-12-04</v>
      </c>
      <c r="H7" s="371">
        <f>SUMIF(70:70,YEAR(G7)&amp;"-"&amp;INT((MONTH(G7)+2)/3),71:71)</f>
        <v>96</v>
      </c>
      <c r="I7" s="2130" t="str">
        <f>Sheet3!K5</f>
        <v>2019-10-28</v>
      </c>
      <c r="J7" s="371">
        <f>SUMIF(70:70,YEAR(I7)&amp;"-"&amp;INT((MONTH(I7)+2)/3),71:71)</f>
        <v>96</v>
      </c>
      <c r="K7" s="568"/>
      <c r="L7" s="2916"/>
      <c r="M7" s="2917"/>
      <c r="N7" s="2917"/>
      <c r="O7" s="2917"/>
      <c r="P7" s="3571" t="s">
        <v>2310</v>
      </c>
      <c r="Q7" s="3599"/>
      <c r="R7" s="710" t="s">
        <v>17</v>
      </c>
      <c r="S7" s="711">
        <f t="shared" ref="S7:S15" si="0">F7</f>
        <v>98.5</v>
      </c>
      <c r="T7" s="710" t="s">
        <v>17</v>
      </c>
      <c r="U7" s="711">
        <f t="shared" ref="U7:U15" si="1">H7</f>
        <v>96</v>
      </c>
      <c r="V7" s="710" t="s">
        <v>17</v>
      </c>
      <c r="W7" s="711">
        <f t="shared" ref="W7:W15" si="2">J7</f>
        <v>96</v>
      </c>
      <c r="X7" s="712"/>
      <c r="Y7" s="3571" t="s">
        <v>2310</v>
      </c>
      <c r="Z7" s="3572"/>
      <c r="AA7" s="713">
        <f>D7/F7</f>
        <v>1.015228426395939</v>
      </c>
      <c r="AB7" s="713">
        <f>D7/H7</f>
        <v>1.0416666666666667</v>
      </c>
      <c r="AC7" s="713">
        <f>D7/J7</f>
        <v>1.0416666666666667</v>
      </c>
    </row>
    <row r="8" spans="1:30" s="113" customFormat="1" ht="15.75" thickBot="1">
      <c r="A8" s="368" t="s">
        <v>2311</v>
      </c>
      <c r="B8" s="369"/>
      <c r="C8" s="374" t="s">
        <v>2312</v>
      </c>
      <c r="D8" s="371">
        <v>100</v>
      </c>
      <c r="E8" s="3255" t="s">
        <v>3285</v>
      </c>
      <c r="F8" s="373">
        <f>SUMIF(73:73,E8,74:74)-SUMIF(73:73,C8,74:74)+100</f>
        <v>100</v>
      </c>
      <c r="G8" s="3255" t="s">
        <v>3286</v>
      </c>
      <c r="H8" s="371">
        <f>SUMIF(73:73,G8,74:74)-SUMIF(73:73,C8,74:74)+100</f>
        <v>100</v>
      </c>
      <c r="I8" s="3255" t="s">
        <v>3287</v>
      </c>
      <c r="J8" s="371">
        <f>SUMIF(73:73,I8,74:74)-SUMIF(73:73,C8,74:74)+100</f>
        <v>100</v>
      </c>
      <c r="K8" s="568"/>
      <c r="L8" s="2916"/>
      <c r="M8" s="2917"/>
      <c r="N8" s="2917"/>
      <c r="O8" s="2917"/>
      <c r="P8" s="3571" t="s">
        <v>2313</v>
      </c>
      <c r="Q8" s="3572"/>
      <c r="R8" s="710" t="s">
        <v>17</v>
      </c>
      <c r="S8" s="711">
        <f t="shared" si="0"/>
        <v>100</v>
      </c>
      <c r="T8" s="710" t="s">
        <v>17</v>
      </c>
      <c r="U8" s="711">
        <f t="shared" si="1"/>
        <v>100</v>
      </c>
      <c r="V8" s="710" t="s">
        <v>17</v>
      </c>
      <c r="W8" s="711">
        <f t="shared" si="2"/>
        <v>100</v>
      </c>
      <c r="X8" s="712"/>
      <c r="Y8" s="3571" t="s">
        <v>2313</v>
      </c>
      <c r="Z8" s="3572"/>
      <c r="AA8" s="713">
        <f t="shared" ref="AA8:AA45" si="3">D8/F8</f>
        <v>1</v>
      </c>
      <c r="AB8" s="713">
        <f t="shared" ref="AB8:AB45" si="4">D8/H8</f>
        <v>1</v>
      </c>
      <c r="AC8" s="713">
        <f t="shared" ref="AC8:AC45" si="5">D8/J8</f>
        <v>1</v>
      </c>
    </row>
    <row r="9" spans="1:30" s="113" customFormat="1">
      <c r="A9" s="375" t="s">
        <v>2314</v>
      </c>
      <c r="B9" s="67" t="s">
        <v>2315</v>
      </c>
      <c r="C9" s="2133"/>
      <c r="D9" s="131">
        <v>100</v>
      </c>
      <c r="E9" s="2133"/>
      <c r="F9" s="131">
        <f>SUMIF(75:75,E9,76:76)-SUMIF(75:75,C9,76:76)+100</f>
        <v>100</v>
      </c>
      <c r="G9" s="2133"/>
      <c r="H9" s="131">
        <f>SUMIF(75:75,G9,76:76)-SUMIF(75:75,C9,76:76)+100</f>
        <v>100</v>
      </c>
      <c r="I9" s="2133"/>
      <c r="J9" s="131">
        <f>SUMIF(75:75,I9,76:76)-SUMIF(75:75,C9,76:76)+100</f>
        <v>100</v>
      </c>
      <c r="K9" s="568"/>
      <c r="L9" s="2916"/>
      <c r="M9" s="2917"/>
      <c r="N9" s="2917"/>
      <c r="O9" s="2971"/>
      <c r="P9" s="3585" t="s">
        <v>2316</v>
      </c>
      <c r="Q9" s="1497" t="str">
        <f t="shared" ref="Q9:Q15" si="6">B9</f>
        <v>用途</v>
      </c>
      <c r="R9" s="710" t="s">
        <v>17</v>
      </c>
      <c r="S9" s="711">
        <f t="shared" si="0"/>
        <v>100</v>
      </c>
      <c r="T9" s="710" t="s">
        <v>17</v>
      </c>
      <c r="U9" s="711">
        <f t="shared" si="1"/>
        <v>100</v>
      </c>
      <c r="V9" s="710" t="s">
        <v>17</v>
      </c>
      <c r="W9" s="711">
        <f t="shared" si="2"/>
        <v>100</v>
      </c>
      <c r="X9" s="712"/>
      <c r="Y9" s="3541"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110</v>
      </c>
      <c r="G10" s="422"/>
      <c r="H10" s="132">
        <f>ROUND(100/'数据-取费表'!G16,0)</f>
        <v>110</v>
      </c>
      <c r="I10" s="422"/>
      <c r="J10" s="132">
        <f>ROUND(100/'数据-取费表'!G16,0)</f>
        <v>110</v>
      </c>
      <c r="K10" s="628"/>
      <c r="L10" s="2918"/>
      <c r="M10" s="2919"/>
      <c r="N10" s="2919"/>
      <c r="O10" s="2972"/>
      <c r="P10" s="3585"/>
      <c r="Q10" s="1497" t="str">
        <f t="shared" si="6"/>
        <v>土地使用年限（年）</v>
      </c>
      <c r="R10" s="710" t="s">
        <v>17</v>
      </c>
      <c r="S10" s="711">
        <f t="shared" si="0"/>
        <v>110</v>
      </c>
      <c r="T10" s="710" t="s">
        <v>17</v>
      </c>
      <c r="U10" s="711">
        <f t="shared" si="1"/>
        <v>110</v>
      </c>
      <c r="V10" s="710" t="s">
        <v>17</v>
      </c>
      <c r="W10" s="711">
        <f t="shared" si="2"/>
        <v>110</v>
      </c>
      <c r="X10" s="712"/>
      <c r="Y10" s="3541"/>
      <c r="Z10" s="55" t="str">
        <f t="shared" si="7"/>
        <v>土地使用年限（年）</v>
      </c>
      <c r="AA10" s="713">
        <f t="shared" si="3"/>
        <v>0.90909090909090906</v>
      </c>
      <c r="AB10" s="713">
        <f t="shared" si="4"/>
        <v>0.90909090909090906</v>
      </c>
      <c r="AC10" s="713">
        <f t="shared" si="5"/>
        <v>0.90909090909090906</v>
      </c>
    </row>
    <row r="11" spans="1:30" ht="15">
      <c r="A11" s="387"/>
      <c r="B11" s="381" t="s">
        <v>2319</v>
      </c>
      <c r="C11" s="388">
        <v>2.5</v>
      </c>
      <c r="D11" s="132">
        <v>100</v>
      </c>
      <c r="E11" s="388">
        <v>1.5</v>
      </c>
      <c r="F11" s="132">
        <f>LOOKUP(E11,80:80,81:81)-LOOKUP(C11,80:80,81:81)+100</f>
        <v>102</v>
      </c>
      <c r="G11" s="389">
        <v>1.2</v>
      </c>
      <c r="H11" s="132">
        <f>LOOKUP(G11,80:80,81:81)-LOOKUP(C11,80:80,81:81)+100</f>
        <v>102</v>
      </c>
      <c r="I11" s="388">
        <v>2.5</v>
      </c>
      <c r="J11" s="132">
        <f>LOOKUP(I11,80:80,81:81)-LOOKUP(C11,80:80,81:81)+100</f>
        <v>100</v>
      </c>
      <c r="K11" s="629">
        <v>2</v>
      </c>
      <c r="L11" s="2920"/>
      <c r="M11" s="2915"/>
      <c r="N11" s="2915"/>
      <c r="O11" s="2973"/>
      <c r="P11" s="3585"/>
      <c r="Q11" s="1497" t="str">
        <f t="shared" si="6"/>
        <v>容积率</v>
      </c>
      <c r="R11" s="710" t="s">
        <v>17</v>
      </c>
      <c r="S11" s="711">
        <f t="shared" si="0"/>
        <v>102</v>
      </c>
      <c r="T11" s="710" t="s">
        <v>17</v>
      </c>
      <c r="U11" s="711">
        <f t="shared" si="1"/>
        <v>102</v>
      </c>
      <c r="V11" s="710" t="s">
        <v>17</v>
      </c>
      <c r="W11" s="711">
        <f t="shared" si="2"/>
        <v>100</v>
      </c>
      <c r="X11" s="712"/>
      <c r="Y11" s="3541"/>
      <c r="Z11" s="55" t="str">
        <f t="shared" si="7"/>
        <v>容积率</v>
      </c>
      <c r="AA11" s="713">
        <f t="shared" si="3"/>
        <v>0.98039215686274506</v>
      </c>
      <c r="AB11" s="713">
        <f t="shared" si="4"/>
        <v>0.98039215686274506</v>
      </c>
      <c r="AC11" s="713">
        <f t="shared" si="5"/>
        <v>1</v>
      </c>
    </row>
    <row r="12" spans="1:30" s="113" customFormat="1" ht="15">
      <c r="A12" s="390"/>
      <c r="B12" s="2049" t="s">
        <v>2508</v>
      </c>
      <c r="C12" s="391"/>
      <c r="D12" s="392">
        <v>100</v>
      </c>
      <c r="E12" s="424"/>
      <c r="F12" s="132">
        <f>SUMIF(82:82,E12,83:83)-SUMIF(82:82,C12,83:83)+100</f>
        <v>100</v>
      </c>
      <c r="G12" s="422"/>
      <c r="H12" s="132">
        <f>SUMIF(82:82,G12,83:83)-SUMIF(82:82,C12,83:83)+100</f>
        <v>100</v>
      </c>
      <c r="I12" s="424"/>
      <c r="J12" s="132">
        <f>SUMIF(82:82,I12,83:83)-SUMIF(82:82,C12,83:83)+100</f>
        <v>100</v>
      </c>
      <c r="K12" s="628"/>
      <c r="L12" s="2916"/>
      <c r="M12" s="2917"/>
      <c r="N12" s="2917"/>
      <c r="O12" s="2971"/>
      <c r="P12" s="3585"/>
      <c r="Q12" s="1497" t="str">
        <f t="shared" si="6"/>
        <v>配建</v>
      </c>
      <c r="R12" s="710" t="s">
        <v>17</v>
      </c>
      <c r="S12" s="711">
        <f t="shared" si="0"/>
        <v>100</v>
      </c>
      <c r="T12" s="710" t="s">
        <v>17</v>
      </c>
      <c r="U12" s="711">
        <f t="shared" si="1"/>
        <v>100</v>
      </c>
      <c r="V12" s="710" t="s">
        <v>17</v>
      </c>
      <c r="W12" s="711">
        <f t="shared" si="2"/>
        <v>100</v>
      </c>
      <c r="X12" s="712"/>
      <c r="Y12" s="3541"/>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21"/>
      <c r="M13" s="2915"/>
      <c r="N13" s="2915"/>
      <c r="O13" s="2973"/>
      <c r="P13" s="3585"/>
      <c r="Q13" s="1497">
        <f t="shared" si="6"/>
        <v>111</v>
      </c>
      <c r="R13" s="710" t="s">
        <v>17</v>
      </c>
      <c r="S13" s="711">
        <f t="shared" si="0"/>
        <v>100</v>
      </c>
      <c r="T13" s="710" t="s">
        <v>17</v>
      </c>
      <c r="U13" s="711">
        <f t="shared" si="1"/>
        <v>100</v>
      </c>
      <c r="V13" s="710" t="s">
        <v>17</v>
      </c>
      <c r="W13" s="711">
        <f t="shared" si="2"/>
        <v>100</v>
      </c>
      <c r="X13" s="712"/>
      <c r="Y13" s="3541"/>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21"/>
      <c r="M14" s="2915"/>
      <c r="N14" s="2915"/>
      <c r="O14" s="2973"/>
      <c r="P14" s="3585"/>
      <c r="Q14" s="1497">
        <f t="shared" si="6"/>
        <v>111</v>
      </c>
      <c r="R14" s="710" t="s">
        <v>17</v>
      </c>
      <c r="S14" s="711">
        <f t="shared" si="0"/>
        <v>100</v>
      </c>
      <c r="T14" s="710" t="s">
        <v>17</v>
      </c>
      <c r="U14" s="711">
        <f t="shared" si="1"/>
        <v>100</v>
      </c>
      <c r="V14" s="710" t="s">
        <v>17</v>
      </c>
      <c r="W14" s="711">
        <f t="shared" si="2"/>
        <v>100</v>
      </c>
      <c r="X14" s="712"/>
      <c r="Y14" s="3541"/>
      <c r="Z14" s="55">
        <f t="shared" si="7"/>
        <v>111</v>
      </c>
      <c r="AA14" s="713">
        <f>D14/F14</f>
        <v>1</v>
      </c>
      <c r="AB14" s="713">
        <f>D14/H14</f>
        <v>1</v>
      </c>
      <c r="AC14" s="713">
        <f>D14/J14</f>
        <v>1</v>
      </c>
    </row>
    <row r="15" spans="1:30" ht="71.25" hidden="1">
      <c r="A15" s="399" t="s">
        <v>2320</v>
      </c>
      <c r="B15" s="65" t="s">
        <v>1883</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v>2</v>
      </c>
      <c r="L15" s="2921"/>
      <c r="M15" s="2915"/>
      <c r="N15" s="2915"/>
      <c r="O15" s="2973"/>
      <c r="P15" s="3600" t="s">
        <v>2321</v>
      </c>
      <c r="Q15" s="1506" t="str">
        <f t="shared" si="6"/>
        <v>居住社区成熟度</v>
      </c>
      <c r="R15" s="714" t="s">
        <v>17</v>
      </c>
      <c r="S15" s="715">
        <f t="shared" si="0"/>
        <v>100</v>
      </c>
      <c r="T15" s="714" t="s">
        <v>17</v>
      </c>
      <c r="U15" s="715">
        <f t="shared" si="1"/>
        <v>100</v>
      </c>
      <c r="V15" s="714" t="s">
        <v>17</v>
      </c>
      <c r="W15" s="715">
        <f t="shared" si="2"/>
        <v>100</v>
      </c>
      <c r="X15" s="1509"/>
      <c r="Y15" s="3600" t="s">
        <v>2321</v>
      </c>
      <c r="Z15" s="1510" t="str">
        <f t="shared" si="7"/>
        <v>居住社区成熟度</v>
      </c>
      <c r="AA15" s="1507">
        <f t="shared" si="3"/>
        <v>1</v>
      </c>
      <c r="AB15" s="1507">
        <f t="shared" si="4"/>
        <v>1</v>
      </c>
      <c r="AC15" s="1507">
        <f t="shared" si="5"/>
        <v>1</v>
      </c>
    </row>
    <row r="16" spans="1:30" ht="15" hidden="1">
      <c r="A16" s="387"/>
      <c r="B16" s="405"/>
      <c r="C16" s="3256"/>
      <c r="D16" s="407"/>
      <c r="E16" s="2054"/>
      <c r="F16" s="407"/>
      <c r="G16" s="2054"/>
      <c r="H16" s="409"/>
      <c r="I16" s="2053"/>
      <c r="J16" s="407"/>
      <c r="K16" s="628"/>
      <c r="L16" s="2921"/>
      <c r="M16" s="2915"/>
      <c r="N16" s="2915"/>
      <c r="O16" s="2973"/>
      <c r="P16" s="3601"/>
      <c r="Q16" s="1506"/>
      <c r="R16" s="714"/>
      <c r="S16" s="715"/>
      <c r="T16" s="714"/>
      <c r="U16" s="715"/>
      <c r="V16" s="714"/>
      <c r="W16" s="715"/>
      <c r="X16" s="1509"/>
      <c r="Y16" s="3601"/>
      <c r="Z16" s="1510"/>
      <c r="AA16" s="1507">
        <v>1</v>
      </c>
      <c r="AB16" s="1507">
        <v>1</v>
      </c>
      <c r="AC16" s="1507">
        <v>1</v>
      </c>
    </row>
    <row r="17" spans="1:29" ht="57">
      <c r="A17" s="387"/>
      <c r="B17" s="410" t="s">
        <v>2414</v>
      </c>
      <c r="C17" s="2111" t="str">
        <f>估价对象房地状况!C16</f>
        <v>估价对象位于XX商圈，周边商业氛围成熟，人流量大，商业繁华度好</v>
      </c>
      <c r="D17" s="409">
        <v>100</v>
      </c>
      <c r="E17" s="411"/>
      <c r="F17" s="409">
        <f>SUMIF(90:90,E18,91:91)-SUMIF(90:90,C18,91:91)+100</f>
        <v>98</v>
      </c>
      <c r="G17" s="411"/>
      <c r="H17" s="414">
        <f>SUMIF(90:90,G18,91:91)-SUMIF(90:90,C18,91:91)+100</f>
        <v>98</v>
      </c>
      <c r="I17" s="413"/>
      <c r="J17" s="414">
        <f>SUMIF(90:90,I18,91:91)-SUMIF(90:90,C18,91:91)+100</f>
        <v>98</v>
      </c>
      <c r="K17" s="629">
        <v>2</v>
      </c>
      <c r="L17" s="2921"/>
      <c r="M17" s="2915"/>
      <c r="N17" s="2915"/>
      <c r="O17" s="2973"/>
      <c r="P17" s="3601"/>
      <c r="Q17" s="1506" t="str">
        <f>B17</f>
        <v>商业繁华度</v>
      </c>
      <c r="R17" s="714" t="s">
        <v>17</v>
      </c>
      <c r="S17" s="715">
        <f>F17</f>
        <v>98</v>
      </c>
      <c r="T17" s="714" t="s">
        <v>17</v>
      </c>
      <c r="U17" s="715">
        <f>H17</f>
        <v>98</v>
      </c>
      <c r="V17" s="714" t="s">
        <v>17</v>
      </c>
      <c r="W17" s="715">
        <f>J17</f>
        <v>98</v>
      </c>
      <c r="X17" s="1509"/>
      <c r="Y17" s="3601"/>
      <c r="Z17" s="1510" t="str">
        <f>Q17</f>
        <v>商业繁华度</v>
      </c>
      <c r="AA17" s="1507">
        <f t="shared" si="3"/>
        <v>1.0204081632653061</v>
      </c>
      <c r="AB17" s="1507">
        <f t="shared" si="4"/>
        <v>1.0204081632653061</v>
      </c>
      <c r="AC17" s="1507">
        <f t="shared" si="5"/>
        <v>1.0204081632653061</v>
      </c>
    </row>
    <row r="18" spans="1:29" ht="15">
      <c r="A18" s="387"/>
      <c r="B18" s="415"/>
      <c r="C18" s="3257" t="s">
        <v>3288</v>
      </c>
      <c r="D18" s="409"/>
      <c r="E18" s="3258" t="s">
        <v>3289</v>
      </c>
      <c r="F18" s="409"/>
      <c r="G18" s="3258" t="s">
        <v>3289</v>
      </c>
      <c r="H18" s="407"/>
      <c r="I18" s="3259" t="s">
        <v>3289</v>
      </c>
      <c r="J18" s="407"/>
      <c r="K18" s="628"/>
      <c r="L18" s="2921"/>
      <c r="M18" s="2915"/>
      <c r="N18" s="2915"/>
      <c r="O18" s="2973"/>
      <c r="P18" s="3601"/>
      <c r="Q18" s="1506"/>
      <c r="R18" s="714"/>
      <c r="S18" s="715"/>
      <c r="T18" s="714"/>
      <c r="U18" s="715"/>
      <c r="V18" s="714"/>
      <c r="W18" s="715"/>
      <c r="X18" s="1509"/>
      <c r="Y18" s="3601"/>
      <c r="Z18" s="1510"/>
      <c r="AA18" s="1507">
        <v>1</v>
      </c>
      <c r="AB18" s="1507">
        <v>1</v>
      </c>
      <c r="AC18" s="1507">
        <v>1</v>
      </c>
    </row>
    <row r="19" spans="1:29" ht="57">
      <c r="A19" s="387"/>
      <c r="B19" s="410" t="s">
        <v>2448</v>
      </c>
      <c r="C19" s="2111" t="str">
        <f>估价对象房地状况!C17</f>
        <v>估价对象位于XX商圈，周边办公楼项目较多，入驻率高，办公集聚程度较好</v>
      </c>
      <c r="D19" s="414">
        <v>100</v>
      </c>
      <c r="E19" s="416"/>
      <c r="F19" s="414">
        <f>SUMIF(92:92,E20,93:93)-SUMIF(92:92,C20,93:93)+100</f>
        <v>98</v>
      </c>
      <c r="G19" s="416"/>
      <c r="H19" s="409">
        <f>SUMIF(92:92,G20,93:93)-SUMIF(92:92,C20,93:93)+100</f>
        <v>98</v>
      </c>
      <c r="I19" s="418"/>
      <c r="J19" s="409">
        <f>SUMIF(92:92,I20,93:93)-SUMIF(92:92,C20,93:93)+100</f>
        <v>98</v>
      </c>
      <c r="K19" s="629">
        <v>2</v>
      </c>
      <c r="L19" s="2921"/>
      <c r="M19" s="2915"/>
      <c r="N19" s="2915"/>
      <c r="O19" s="2973"/>
      <c r="P19" s="3601"/>
      <c r="Q19" s="1506" t="str">
        <f>B19</f>
        <v>办公集聚程度</v>
      </c>
      <c r="R19" s="714" t="s">
        <v>17</v>
      </c>
      <c r="S19" s="715">
        <f>F19</f>
        <v>98</v>
      </c>
      <c r="T19" s="714" t="s">
        <v>17</v>
      </c>
      <c r="U19" s="715">
        <f>H19</f>
        <v>98</v>
      </c>
      <c r="V19" s="714" t="s">
        <v>17</v>
      </c>
      <c r="W19" s="715">
        <f>J19</f>
        <v>98</v>
      </c>
      <c r="X19" s="1509"/>
      <c r="Y19" s="3601"/>
      <c r="Z19" s="1510" t="str">
        <f>Q19</f>
        <v>办公集聚程度</v>
      </c>
      <c r="AA19" s="1507">
        <f t="shared" si="3"/>
        <v>1.0204081632653061</v>
      </c>
      <c r="AB19" s="1507">
        <f t="shared" si="4"/>
        <v>1.0204081632653061</v>
      </c>
      <c r="AC19" s="1507">
        <f t="shared" si="5"/>
        <v>1.0204081632653061</v>
      </c>
    </row>
    <row r="20" spans="1:29" ht="15">
      <c r="A20" s="387"/>
      <c r="B20" s="415"/>
      <c r="C20" s="3256" t="s">
        <v>3288</v>
      </c>
      <c r="D20" s="407"/>
      <c r="E20" s="3260" t="s">
        <v>3289</v>
      </c>
      <c r="F20" s="407"/>
      <c r="G20" s="3260" t="s">
        <v>3289</v>
      </c>
      <c r="H20" s="407"/>
      <c r="I20" s="3261" t="s">
        <v>3289</v>
      </c>
      <c r="J20" s="407"/>
      <c r="K20" s="628"/>
      <c r="L20" s="2921"/>
      <c r="M20" s="2915"/>
      <c r="N20" s="2915"/>
      <c r="O20" s="2973"/>
      <c r="P20" s="3601"/>
      <c r="Q20" s="1506"/>
      <c r="R20" s="714"/>
      <c r="S20" s="715"/>
      <c r="T20" s="714"/>
      <c r="U20" s="715"/>
      <c r="V20" s="714"/>
      <c r="W20" s="715"/>
      <c r="X20" s="1509"/>
      <c r="Y20" s="3601"/>
      <c r="Z20" s="1510"/>
      <c r="AA20" s="1507">
        <v>1</v>
      </c>
      <c r="AB20" s="1507">
        <v>1</v>
      </c>
      <c r="AC20" s="1507">
        <v>1</v>
      </c>
    </row>
    <row r="21" spans="1:29" ht="71.25">
      <c r="A21" s="387"/>
      <c r="B21" s="410" t="s">
        <v>2470</v>
      </c>
      <c r="C21" s="2056" t="str">
        <f>估价对象房地状况!C18</f>
        <v>估价对象周边道路状况、公共交通通达情况、停车便捷程度，综合评价交通便捷度较好</v>
      </c>
      <c r="D21" s="409">
        <v>100</v>
      </c>
      <c r="E21" s="411"/>
      <c r="F21" s="414">
        <f>SUMIF(94:94,E22,95:95)-SUMIF(94:94,C22,95:95)+100</f>
        <v>98</v>
      </c>
      <c r="G21" s="411"/>
      <c r="H21" s="409">
        <f>SUMIF(94:94,G22,95:95)-SUMIF(94:94,C22,95:95)+100</f>
        <v>98</v>
      </c>
      <c r="I21" s="413"/>
      <c r="J21" s="409">
        <f>SUMIF(94:94,I22,95:95)-SUMIF(94:94,C22,95:95)+100</f>
        <v>98</v>
      </c>
      <c r="K21" s="629">
        <v>2</v>
      </c>
      <c r="L21" s="2921"/>
      <c r="M21" s="2915"/>
      <c r="N21" s="2915"/>
      <c r="O21" s="2973"/>
      <c r="P21" s="3601"/>
      <c r="Q21" s="1506" t="str">
        <f>B21</f>
        <v>交通便捷度</v>
      </c>
      <c r="R21" s="714" t="s">
        <v>17</v>
      </c>
      <c r="S21" s="715">
        <f>F21</f>
        <v>98</v>
      </c>
      <c r="T21" s="714" t="s">
        <v>17</v>
      </c>
      <c r="U21" s="715">
        <f>H21</f>
        <v>98</v>
      </c>
      <c r="V21" s="714" t="s">
        <v>17</v>
      </c>
      <c r="W21" s="715">
        <f>J21</f>
        <v>98</v>
      </c>
      <c r="X21" s="1509"/>
      <c r="Y21" s="3601"/>
      <c r="Z21" s="1510" t="str">
        <f>Q21</f>
        <v>交通便捷度</v>
      </c>
      <c r="AA21" s="1507">
        <f t="shared" si="3"/>
        <v>1.0204081632653061</v>
      </c>
      <c r="AB21" s="1507">
        <f t="shared" si="4"/>
        <v>1.0204081632653061</v>
      </c>
      <c r="AC21" s="1507">
        <f t="shared" si="5"/>
        <v>1.0204081632653061</v>
      </c>
    </row>
    <row r="22" spans="1:29" ht="15">
      <c r="A22" s="387"/>
      <c r="B22" s="1265"/>
      <c r="C22" s="3256" t="s">
        <v>3288</v>
      </c>
      <c r="D22" s="409"/>
      <c r="E22" s="3260" t="s">
        <v>3289</v>
      </c>
      <c r="F22" s="407"/>
      <c r="G22" s="3260" t="s">
        <v>3289</v>
      </c>
      <c r="H22" s="407"/>
      <c r="I22" s="3261" t="s">
        <v>3289</v>
      </c>
      <c r="J22" s="407"/>
      <c r="K22" s="628"/>
      <c r="L22" s="2921"/>
      <c r="M22" s="2915"/>
      <c r="N22" s="2915"/>
      <c r="O22" s="2973"/>
      <c r="P22" s="3601"/>
      <c r="Q22" s="1506"/>
      <c r="R22" s="714"/>
      <c r="S22" s="715"/>
      <c r="T22" s="714"/>
      <c r="U22" s="715"/>
      <c r="V22" s="714"/>
      <c r="W22" s="715"/>
      <c r="X22" s="1509"/>
      <c r="Y22" s="3601"/>
      <c r="Z22" s="1510"/>
      <c r="AA22" s="1507">
        <v>1</v>
      </c>
      <c r="AB22" s="1507">
        <v>1</v>
      </c>
      <c r="AC22" s="1507">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2</v>
      </c>
      <c r="L23" s="2921"/>
      <c r="M23" s="2915"/>
      <c r="N23" s="2915"/>
      <c r="O23" s="2973"/>
      <c r="P23" s="3601"/>
      <c r="Q23" s="1506" t="str">
        <f t="shared" ref="Q23:Q37" si="8">B23</f>
        <v>区域土地利用方向</v>
      </c>
      <c r="R23" s="714" t="s">
        <v>17</v>
      </c>
      <c r="S23" s="715">
        <f>F23</f>
        <v>100</v>
      </c>
      <c r="T23" s="714" t="s">
        <v>17</v>
      </c>
      <c r="U23" s="715">
        <f>H23</f>
        <v>100</v>
      </c>
      <c r="V23" s="714" t="s">
        <v>17</v>
      </c>
      <c r="W23" s="715">
        <f>J23</f>
        <v>100</v>
      </c>
      <c r="X23" s="1509"/>
      <c r="Y23" s="3601"/>
      <c r="Z23" s="1510" t="str">
        <f>Q23</f>
        <v>区域土地利用方向</v>
      </c>
      <c r="AA23" s="1507">
        <f t="shared" si="3"/>
        <v>1</v>
      </c>
      <c r="AB23" s="1507">
        <f t="shared" si="4"/>
        <v>1</v>
      </c>
      <c r="AC23" s="1507">
        <f t="shared" si="5"/>
        <v>1</v>
      </c>
    </row>
    <row r="24" spans="1:29" ht="15">
      <c r="A24" s="364"/>
      <c r="B24" s="415"/>
      <c r="C24" s="3262" t="s">
        <v>3288</v>
      </c>
      <c r="D24" s="407"/>
      <c r="E24" s="3260" t="s">
        <v>3288</v>
      </c>
      <c r="F24" s="407"/>
      <c r="G24" s="3261" t="s">
        <v>3288</v>
      </c>
      <c r="H24" s="407"/>
      <c r="I24" s="3261" t="s">
        <v>3288</v>
      </c>
      <c r="J24" s="407"/>
      <c r="K24" s="751"/>
      <c r="L24" s="2921"/>
      <c r="M24" s="2915"/>
      <c r="N24" s="2915"/>
      <c r="O24" s="2973"/>
      <c r="P24" s="3601"/>
      <c r="Q24" s="1506"/>
      <c r="R24" s="714"/>
      <c r="S24" s="715"/>
      <c r="T24" s="714"/>
      <c r="U24" s="715"/>
      <c r="V24" s="714"/>
      <c r="W24" s="715"/>
      <c r="X24" s="1509"/>
      <c r="Y24" s="3601"/>
      <c r="Z24" s="1510"/>
      <c r="AA24" s="1507"/>
      <c r="AB24" s="1507"/>
      <c r="AC24" s="1507"/>
    </row>
    <row r="25" spans="1:29" ht="42.75">
      <c r="A25" s="364"/>
      <c r="B25" s="1265" t="s">
        <v>2510</v>
      </c>
      <c r="C25" s="2111" t="str">
        <f>估价对象房地状况!C20</f>
        <v>区域自然环境：；人文环境；综合评价环境状况一般</v>
      </c>
      <c r="D25" s="409">
        <v>100</v>
      </c>
      <c r="E25" s="411"/>
      <c r="F25" s="409">
        <f>SUMIF(98:98,E26,99:99)-SUMIF(98:98,C26,99:99)+100</f>
        <v>98</v>
      </c>
      <c r="G25" s="411"/>
      <c r="H25" s="409">
        <f>SUMIF(98:98,G26,99:99)-SUMIF(98:98,C26,99:99)+100</f>
        <v>98</v>
      </c>
      <c r="I25" s="413"/>
      <c r="J25" s="409">
        <f>SUMIF(98:98,I26,99:99)-SUMIF(98:98,C26,99:99)+100</f>
        <v>98</v>
      </c>
      <c r="K25" s="629">
        <v>2</v>
      </c>
      <c r="L25" s="2921"/>
      <c r="M25" s="2915"/>
      <c r="N25" s="2915"/>
      <c r="O25" s="2973"/>
      <c r="P25" s="3601"/>
      <c r="Q25" s="1506" t="str">
        <f t="shared" si="8"/>
        <v>自然及人文环境状况</v>
      </c>
      <c r="R25" s="714" t="s">
        <v>17</v>
      </c>
      <c r="S25" s="715">
        <f>F25</f>
        <v>98</v>
      </c>
      <c r="T25" s="714" t="s">
        <v>17</v>
      </c>
      <c r="U25" s="715">
        <f>H25</f>
        <v>98</v>
      </c>
      <c r="V25" s="714" t="s">
        <v>17</v>
      </c>
      <c r="W25" s="715">
        <f>J25</f>
        <v>98</v>
      </c>
      <c r="X25" s="1509"/>
      <c r="Y25" s="3601"/>
      <c r="Z25" s="1510" t="str">
        <f>Q25</f>
        <v>自然及人文环境状况</v>
      </c>
      <c r="AA25" s="1507">
        <f t="shared" si="3"/>
        <v>1.0204081632653061</v>
      </c>
      <c r="AB25" s="1507">
        <f t="shared" si="4"/>
        <v>1.0204081632653061</v>
      </c>
      <c r="AC25" s="1507">
        <f t="shared" si="5"/>
        <v>1.0204081632653061</v>
      </c>
    </row>
    <row r="26" spans="1:29" ht="15">
      <c r="A26" s="364"/>
      <c r="B26" s="415"/>
      <c r="C26" s="3256" t="s">
        <v>3289</v>
      </c>
      <c r="D26" s="407"/>
      <c r="E26" s="3263" t="s">
        <v>3290</v>
      </c>
      <c r="F26" s="407"/>
      <c r="G26" s="3263" t="s">
        <v>3290</v>
      </c>
      <c r="H26" s="407"/>
      <c r="I26" s="3256" t="s">
        <v>3290</v>
      </c>
      <c r="J26" s="407"/>
      <c r="K26" s="628"/>
      <c r="L26" s="2921"/>
      <c r="M26" s="2915"/>
      <c r="N26" s="2915"/>
      <c r="O26" s="2973"/>
      <c r="P26" s="3601"/>
      <c r="Q26" s="1506"/>
      <c r="R26" s="714"/>
      <c r="S26" s="715"/>
      <c r="T26" s="714"/>
      <c r="U26" s="715"/>
      <c r="V26" s="714"/>
      <c r="W26" s="715"/>
      <c r="X26" s="1509"/>
      <c r="Y26" s="3601"/>
      <c r="Z26" s="1510"/>
      <c r="AA26" s="1507">
        <v>1</v>
      </c>
      <c r="AB26" s="1507">
        <v>1</v>
      </c>
      <c r="AC26" s="1507">
        <v>1</v>
      </c>
    </row>
    <row r="27" spans="1:29" s="113" customFormat="1" ht="28.5">
      <c r="A27" s="605"/>
      <c r="B27" s="1265" t="s">
        <v>2415</v>
      </c>
      <c r="C27" s="2056" t="str">
        <f>估价对象房地状况!C21</f>
        <v>估价对象所在区域公共配套设施齐备情况</v>
      </c>
      <c r="D27" s="409">
        <v>100</v>
      </c>
      <c r="E27" s="411"/>
      <c r="F27" s="409">
        <f>SUMIF(100:100,E28,101:101)-SUMIF(100:100,C28,101:101)+100</f>
        <v>98</v>
      </c>
      <c r="G27" s="411"/>
      <c r="H27" s="409">
        <f>SUMIF(100:100,G28,101:101)-SUMIF(100:100,C28,101:101)+100</f>
        <v>98</v>
      </c>
      <c r="I27" s="413"/>
      <c r="J27" s="409">
        <f>SUMIF(100:100,I28,101:101)-SUMIF(100:100,C28,101:101)+100</f>
        <v>98</v>
      </c>
      <c r="K27" s="629">
        <v>2</v>
      </c>
      <c r="L27" s="2916"/>
      <c r="M27" s="2917"/>
      <c r="N27" s="2917"/>
      <c r="O27" s="2971"/>
      <c r="P27" s="3601"/>
      <c r="Q27" s="1497" t="str">
        <f t="shared" si="8"/>
        <v>公共配套设施</v>
      </c>
      <c r="R27" s="710" t="s">
        <v>17</v>
      </c>
      <c r="S27" s="711">
        <f>F27</f>
        <v>98</v>
      </c>
      <c r="T27" s="710" t="s">
        <v>17</v>
      </c>
      <c r="U27" s="711">
        <f>H27</f>
        <v>98</v>
      </c>
      <c r="V27" s="710" t="s">
        <v>17</v>
      </c>
      <c r="W27" s="711">
        <f>J27</f>
        <v>98</v>
      </c>
      <c r="X27" s="712"/>
      <c r="Y27" s="3601"/>
      <c r="Z27" s="55" t="str">
        <f>Q27</f>
        <v>公共配套设施</v>
      </c>
      <c r="AA27" s="1507">
        <f>D27/F27</f>
        <v>1.0204081632653061</v>
      </c>
      <c r="AB27" s="1507">
        <f>D27/H27</f>
        <v>1.0204081632653061</v>
      </c>
      <c r="AC27" s="1507">
        <f>D27/J27</f>
        <v>1.0204081632653061</v>
      </c>
    </row>
    <row r="28" spans="1:29" s="113" customFormat="1" ht="15">
      <c r="A28" s="605"/>
      <c r="B28" s="415"/>
      <c r="C28" s="3264" t="s">
        <v>3288</v>
      </c>
      <c r="D28" s="407"/>
      <c r="E28" s="3263" t="s">
        <v>3289</v>
      </c>
      <c r="F28" s="407"/>
      <c r="G28" s="3263" t="s">
        <v>3289</v>
      </c>
      <c r="H28" s="407"/>
      <c r="I28" s="3256" t="s">
        <v>3289</v>
      </c>
      <c r="J28" s="407"/>
      <c r="K28" s="628"/>
      <c r="L28" s="2916"/>
      <c r="M28" s="2917"/>
      <c r="N28" s="2917"/>
      <c r="O28" s="2971"/>
      <c r="P28" s="3601"/>
      <c r="Q28" s="1497"/>
      <c r="R28" s="710"/>
      <c r="S28" s="711"/>
      <c r="T28" s="710"/>
      <c r="U28" s="711"/>
      <c r="V28" s="710"/>
      <c r="W28" s="711"/>
      <c r="X28" s="712"/>
      <c r="Y28" s="3601"/>
      <c r="Z28" s="55"/>
      <c r="AA28" s="1507">
        <v>1</v>
      </c>
      <c r="AB28" s="1507">
        <v>1</v>
      </c>
      <c r="AC28" s="1507">
        <v>1</v>
      </c>
    </row>
    <row r="29" spans="1:29" s="113" customFormat="1" ht="28.5">
      <c r="A29" s="605"/>
      <c r="B29" s="1265" t="s">
        <v>2416</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v>2</v>
      </c>
      <c r="L29" s="2916"/>
      <c r="M29" s="2917"/>
      <c r="N29" s="2917"/>
      <c r="O29" s="2971"/>
      <c r="P29" s="3601"/>
      <c r="Q29" s="1497" t="str">
        <f t="shared" ref="Q29" si="9">B29</f>
        <v>基础设施水平</v>
      </c>
      <c r="R29" s="710" t="s">
        <v>17</v>
      </c>
      <c r="S29" s="711">
        <f>F29</f>
        <v>100</v>
      </c>
      <c r="T29" s="710" t="s">
        <v>17</v>
      </c>
      <c r="U29" s="711">
        <f>H29</f>
        <v>100</v>
      </c>
      <c r="V29" s="710" t="s">
        <v>17</v>
      </c>
      <c r="W29" s="711">
        <f>J29</f>
        <v>100</v>
      </c>
      <c r="X29" s="712"/>
      <c r="Y29" s="3601"/>
      <c r="Z29" s="55" t="str">
        <f>Q29</f>
        <v>基础设施水平</v>
      </c>
      <c r="AA29" s="1507">
        <f>D29/F29</f>
        <v>1</v>
      </c>
      <c r="AB29" s="1507">
        <f>D29/H29</f>
        <v>1</v>
      </c>
      <c r="AC29" s="1507">
        <f>D29/J29</f>
        <v>1</v>
      </c>
    </row>
    <row r="30" spans="1:29" s="113" customFormat="1" ht="15">
      <c r="A30" s="605"/>
      <c r="B30" s="415"/>
      <c r="C30" s="3264" t="s">
        <v>3291</v>
      </c>
      <c r="D30" s="407"/>
      <c r="E30" s="3265" t="s">
        <v>3291</v>
      </c>
      <c r="F30" s="407"/>
      <c r="G30" s="3265" t="s">
        <v>3291</v>
      </c>
      <c r="H30" s="407"/>
      <c r="I30" s="3265" t="s">
        <v>3291</v>
      </c>
      <c r="J30" s="407"/>
      <c r="K30" s="628"/>
      <c r="L30" s="2916"/>
      <c r="M30" s="2917"/>
      <c r="N30" s="2917"/>
      <c r="O30" s="2971"/>
      <c r="P30" s="3601"/>
      <c r="Q30" s="1497"/>
      <c r="R30" s="710"/>
      <c r="S30" s="711"/>
      <c r="T30" s="710"/>
      <c r="U30" s="711"/>
      <c r="V30" s="710"/>
      <c r="W30" s="711"/>
      <c r="X30" s="712"/>
      <c r="Y30" s="3601"/>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v>2</v>
      </c>
      <c r="L31" s="2921"/>
      <c r="M31" s="2915"/>
      <c r="N31" s="2915"/>
      <c r="O31" s="2973"/>
      <c r="P31" s="3601"/>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601"/>
      <c r="Z31" s="1510" t="str">
        <f t="shared" ref="Z31:Z45" si="13">Q31</f>
        <v>临街状况</v>
      </c>
      <c r="AA31" s="1507">
        <f t="shared" si="3"/>
        <v>1</v>
      </c>
      <c r="AB31" s="1507">
        <f t="shared" si="4"/>
        <v>1</v>
      </c>
      <c r="AC31" s="1507">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1"/>
      <c r="M32" s="2915"/>
      <c r="N32" s="2915"/>
      <c r="O32" s="2973"/>
      <c r="P32" s="3601"/>
      <c r="Q32" s="1506" t="str">
        <f t="shared" si="8"/>
        <v>毗邻道路的类型与等级</v>
      </c>
      <c r="R32" s="714" t="s">
        <v>17</v>
      </c>
      <c r="S32" s="715">
        <f t="shared" si="10"/>
        <v>100</v>
      </c>
      <c r="T32" s="714" t="s">
        <v>17</v>
      </c>
      <c r="U32" s="715">
        <f t="shared" si="11"/>
        <v>100</v>
      </c>
      <c r="V32" s="714" t="s">
        <v>17</v>
      </c>
      <c r="W32" s="715">
        <f t="shared" si="12"/>
        <v>100</v>
      </c>
      <c r="X32" s="1509"/>
      <c r="Y32" s="3601"/>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21"/>
      <c r="M33" s="2915"/>
      <c r="N33" s="2915"/>
      <c r="O33" s="2973"/>
      <c r="P33" s="3601"/>
      <c r="Q33" s="1506"/>
      <c r="R33" s="714"/>
      <c r="S33" s="715"/>
      <c r="T33" s="714"/>
      <c r="U33" s="715"/>
      <c r="V33" s="714"/>
      <c r="W33" s="715"/>
      <c r="X33" s="1509"/>
      <c r="Y33" s="3601"/>
      <c r="Z33" s="1510"/>
      <c r="AA33" s="1507">
        <v>1</v>
      </c>
      <c r="AB33" s="1507">
        <v>1</v>
      </c>
      <c r="AC33" s="1507">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1"/>
      <c r="M34" s="2915"/>
      <c r="N34" s="2915"/>
      <c r="O34" s="2973"/>
      <c r="P34" s="3601"/>
      <c r="Q34" s="1506" t="str">
        <f t="shared" si="8"/>
        <v>土地级别</v>
      </c>
      <c r="R34" s="714" t="s">
        <v>17</v>
      </c>
      <c r="S34" s="715">
        <f t="shared" si="10"/>
        <v>100</v>
      </c>
      <c r="T34" s="714" t="s">
        <v>17</v>
      </c>
      <c r="U34" s="715">
        <f t="shared" si="11"/>
        <v>100</v>
      </c>
      <c r="V34" s="714" t="s">
        <v>17</v>
      </c>
      <c r="W34" s="715">
        <f t="shared" si="12"/>
        <v>100</v>
      </c>
      <c r="X34" s="1509"/>
      <c r="Y34" s="3601"/>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1"/>
      <c r="M35" s="2915"/>
      <c r="N35" s="2915"/>
      <c r="O35" s="2973"/>
      <c r="P35" s="3601"/>
      <c r="Q35" s="1506">
        <f t="shared" si="8"/>
        <v>111</v>
      </c>
      <c r="R35" s="714" t="s">
        <v>17</v>
      </c>
      <c r="S35" s="715">
        <f t="shared" si="10"/>
        <v>100</v>
      </c>
      <c r="T35" s="714" t="s">
        <v>17</v>
      </c>
      <c r="U35" s="715">
        <f t="shared" si="11"/>
        <v>100</v>
      </c>
      <c r="V35" s="714" t="s">
        <v>17</v>
      </c>
      <c r="W35" s="715">
        <f t="shared" si="12"/>
        <v>100</v>
      </c>
      <c r="X35" s="1509"/>
      <c r="Y35" s="3601"/>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1"/>
      <c r="M36" s="2915"/>
      <c r="N36" s="2915"/>
      <c r="O36" s="2973"/>
      <c r="P36" s="3602" t="s">
        <v>2326</v>
      </c>
      <c r="Q36" s="1506">
        <f t="shared" si="8"/>
        <v>111</v>
      </c>
      <c r="R36" s="714" t="s">
        <v>17</v>
      </c>
      <c r="S36" s="715">
        <f t="shared" si="10"/>
        <v>100</v>
      </c>
      <c r="T36" s="714" t="s">
        <v>17</v>
      </c>
      <c r="U36" s="715">
        <f t="shared" si="11"/>
        <v>100</v>
      </c>
      <c r="V36" s="714" t="s">
        <v>17</v>
      </c>
      <c r="W36" s="715">
        <f t="shared" si="12"/>
        <v>100</v>
      </c>
      <c r="X36" s="1509"/>
      <c r="Y36" s="3603" t="s">
        <v>2326</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20"/>
      <c r="M37" s="2922"/>
      <c r="N37" s="2922"/>
      <c r="O37" s="2974"/>
      <c r="P37" s="3603"/>
      <c r="Q37" s="1506">
        <f t="shared" si="8"/>
        <v>111</v>
      </c>
      <c r="R37" s="717" t="s">
        <v>17</v>
      </c>
      <c r="S37" s="718">
        <f t="shared" si="10"/>
        <v>100</v>
      </c>
      <c r="T37" s="717" t="s">
        <v>17</v>
      </c>
      <c r="U37" s="718">
        <f t="shared" si="11"/>
        <v>100</v>
      </c>
      <c r="V37" s="717" t="s">
        <v>17</v>
      </c>
      <c r="W37" s="718">
        <f t="shared" si="12"/>
        <v>100</v>
      </c>
      <c r="X37" s="719"/>
      <c r="Y37" s="3603"/>
      <c r="Z37" s="720">
        <f t="shared" si="13"/>
        <v>111</v>
      </c>
      <c r="AA37" s="1507">
        <f t="shared" si="3"/>
        <v>1</v>
      </c>
      <c r="AB37" s="1507">
        <f t="shared" si="4"/>
        <v>1</v>
      </c>
      <c r="AC37" s="1507">
        <f t="shared" si="5"/>
        <v>1</v>
      </c>
    </row>
    <row r="38" spans="1:29" ht="15">
      <c r="A38" s="431" t="s">
        <v>2324</v>
      </c>
      <c r="B38" s="415" t="s">
        <v>2512</v>
      </c>
      <c r="C38" s="635">
        <v>29189.49</v>
      </c>
      <c r="D38" s="426">
        <v>100</v>
      </c>
      <c r="E38" s="635">
        <f>Sheet3!D2</f>
        <v>1356</v>
      </c>
      <c r="F38" s="426">
        <f>LOOKUP(E38,117:117,118:118)-LOOKUP(C38,117:117,118:118)+100</f>
        <v>98</v>
      </c>
      <c r="G38" s="635">
        <f>Sheet3!D4</f>
        <v>32342.9</v>
      </c>
      <c r="H38" s="426">
        <f>LOOKUP(G38,117:117,118:118)-LOOKUP(C38,117:117,118:118)+100</f>
        <v>101</v>
      </c>
      <c r="I38" s="487">
        <f>Sheet3!D5</f>
        <v>6654</v>
      </c>
      <c r="J38" s="426">
        <f>LOOKUP(I38,117:117,118:118)-LOOKUP(C38,117:117,118:118)+100</f>
        <v>98</v>
      </c>
      <c r="K38" s="570"/>
      <c r="L38" s="2921"/>
      <c r="M38" s="2915"/>
      <c r="N38" s="2915"/>
      <c r="O38" s="2973"/>
      <c r="P38" s="3603"/>
      <c r="Q38" s="1506" t="str">
        <f>B38</f>
        <v>宗地面积</v>
      </c>
      <c r="R38" s="714" t="s">
        <v>17</v>
      </c>
      <c r="S38" s="715">
        <f t="shared" si="10"/>
        <v>98</v>
      </c>
      <c r="T38" s="714" t="s">
        <v>17</v>
      </c>
      <c r="U38" s="715">
        <f t="shared" si="11"/>
        <v>101</v>
      </c>
      <c r="V38" s="714" t="s">
        <v>17</v>
      </c>
      <c r="W38" s="715">
        <f t="shared" si="12"/>
        <v>98</v>
      </c>
      <c r="X38" s="1509"/>
      <c r="Y38" s="3603"/>
      <c r="Z38" s="1510" t="str">
        <f t="shared" si="13"/>
        <v>宗地面积</v>
      </c>
      <c r="AA38" s="1507">
        <f t="shared" si="3"/>
        <v>1.0204081632653061</v>
      </c>
      <c r="AB38" s="1507">
        <f t="shared" si="4"/>
        <v>0.99009900990099009</v>
      </c>
      <c r="AC38" s="1507">
        <f t="shared" si="5"/>
        <v>1.0204081632653061</v>
      </c>
    </row>
    <row r="39" spans="1:29" ht="15">
      <c r="A39" s="431"/>
      <c r="B39" s="381" t="s">
        <v>2513</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21"/>
      <c r="M39" s="2915"/>
      <c r="N39" s="2915"/>
      <c r="O39" s="2973"/>
      <c r="P39" s="3603"/>
      <c r="Q39" s="1506" t="str">
        <f t="shared" ref="Q39:Q45" si="14">B39</f>
        <v>宗地形状</v>
      </c>
      <c r="R39" s="714" t="s">
        <v>17</v>
      </c>
      <c r="S39" s="715">
        <f t="shared" si="10"/>
        <v>100</v>
      </c>
      <c r="T39" s="714" t="s">
        <v>17</v>
      </c>
      <c r="U39" s="715">
        <f t="shared" si="11"/>
        <v>100</v>
      </c>
      <c r="V39" s="714" t="s">
        <v>17</v>
      </c>
      <c r="W39" s="715">
        <f t="shared" si="12"/>
        <v>100</v>
      </c>
      <c r="X39" s="1509"/>
      <c r="Y39" s="3603"/>
      <c r="Z39" s="1510" t="str">
        <f t="shared" si="13"/>
        <v>宗地形状</v>
      </c>
      <c r="AA39" s="1507">
        <f t="shared" si="3"/>
        <v>1</v>
      </c>
      <c r="AB39" s="1507">
        <f t="shared" si="4"/>
        <v>1</v>
      </c>
      <c r="AC39" s="1507">
        <f t="shared" si="5"/>
        <v>1</v>
      </c>
    </row>
    <row r="40" spans="1:29" ht="15">
      <c r="A40" s="431"/>
      <c r="B40" s="381" t="s">
        <v>2514</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21"/>
      <c r="M40" s="2915"/>
      <c r="N40" s="2915"/>
      <c r="O40" s="2973"/>
      <c r="P40" s="3603"/>
      <c r="Q40" s="1506" t="str">
        <f t="shared" si="14"/>
        <v>临街宽度及深度</v>
      </c>
      <c r="R40" s="714" t="s">
        <v>17</v>
      </c>
      <c r="S40" s="715">
        <f t="shared" si="10"/>
        <v>100</v>
      </c>
      <c r="T40" s="714" t="s">
        <v>17</v>
      </c>
      <c r="U40" s="715">
        <f t="shared" si="11"/>
        <v>100</v>
      </c>
      <c r="V40" s="714" t="s">
        <v>17</v>
      </c>
      <c r="W40" s="715">
        <f t="shared" si="12"/>
        <v>100</v>
      </c>
      <c r="X40" s="1509"/>
      <c r="Y40" s="3603"/>
      <c r="Z40" s="1510" t="str">
        <f t="shared" si="13"/>
        <v>临街宽度及深度</v>
      </c>
      <c r="AA40" s="1507">
        <f t="shared" si="3"/>
        <v>1</v>
      </c>
      <c r="AB40" s="1507">
        <f t="shared" si="4"/>
        <v>1</v>
      </c>
      <c r="AC40" s="1507">
        <f t="shared" si="5"/>
        <v>1</v>
      </c>
    </row>
    <row r="41" spans="1:29" s="113" customFormat="1" ht="15">
      <c r="A41" s="432"/>
      <c r="B41" s="3345" t="s">
        <v>2515</v>
      </c>
      <c r="C41" s="3347" t="s">
        <v>3714</v>
      </c>
      <c r="D41" s="132">
        <v>100</v>
      </c>
      <c r="E41" s="3347" t="s">
        <v>3715</v>
      </c>
      <c r="F41" s="394">
        <f>SUMIF(123:123,E41,124:124)-SUMIF(123:123,C41,124:124)+100</f>
        <v>96</v>
      </c>
      <c r="G41" s="3347" t="s">
        <v>3715</v>
      </c>
      <c r="H41" s="394">
        <f>SUMIF(123:123,G41,124:124)-SUMIF(123:123,C41,124:124)+100</f>
        <v>96</v>
      </c>
      <c r="I41" s="3347" t="s">
        <v>3715</v>
      </c>
      <c r="J41" s="394">
        <f>SUMIF(123:123,I41,124:124)-SUMIF(123:123,C41,124:124)+100</f>
        <v>96</v>
      </c>
      <c r="K41" s="569">
        <v>2</v>
      </c>
      <c r="L41" s="2916"/>
      <c r="M41" s="2917"/>
      <c r="N41" s="2917"/>
      <c r="O41" s="2971"/>
      <c r="P41" s="3603"/>
      <c r="Q41" s="1506" t="str">
        <f t="shared" si="14"/>
        <v>宗地开发程度</v>
      </c>
      <c r="R41" s="710" t="s">
        <v>17</v>
      </c>
      <c r="S41" s="711">
        <f t="shared" si="10"/>
        <v>96</v>
      </c>
      <c r="T41" s="710" t="s">
        <v>17</v>
      </c>
      <c r="U41" s="711">
        <f t="shared" si="11"/>
        <v>96</v>
      </c>
      <c r="V41" s="710" t="s">
        <v>17</v>
      </c>
      <c r="W41" s="711">
        <f t="shared" si="12"/>
        <v>96</v>
      </c>
      <c r="X41" s="712"/>
      <c r="Y41" s="3603"/>
      <c r="Z41" s="55" t="str">
        <f t="shared" si="13"/>
        <v>宗地开发程度</v>
      </c>
      <c r="AA41" s="713">
        <f t="shared" si="3"/>
        <v>1.0416666666666667</v>
      </c>
      <c r="AB41" s="713">
        <f t="shared" si="4"/>
        <v>1.0416666666666667</v>
      </c>
      <c r="AC41" s="713">
        <f t="shared" si="5"/>
        <v>1.0416666666666667</v>
      </c>
    </row>
    <row r="42" spans="1:29" ht="15">
      <c r="A42" s="431"/>
      <c r="B42" s="381" t="s">
        <v>2516</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21"/>
      <c r="M42" s="2915"/>
      <c r="N42" s="2915"/>
      <c r="O42" s="2973"/>
      <c r="P42" s="3603" t="s">
        <v>2326</v>
      </c>
      <c r="Q42" s="1506" t="str">
        <f t="shared" si="14"/>
        <v>工程地质条件</v>
      </c>
      <c r="R42" s="714" t="s">
        <v>17</v>
      </c>
      <c r="S42" s="715">
        <f t="shared" si="10"/>
        <v>100</v>
      </c>
      <c r="T42" s="714" t="s">
        <v>17</v>
      </c>
      <c r="U42" s="715">
        <f t="shared" si="11"/>
        <v>100</v>
      </c>
      <c r="V42" s="714" t="s">
        <v>17</v>
      </c>
      <c r="W42" s="715">
        <f t="shared" si="12"/>
        <v>100</v>
      </c>
      <c r="X42" s="1509"/>
      <c r="Y42" s="3603"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1"/>
      <c r="M43" s="2915"/>
      <c r="N43" s="2915"/>
      <c r="O43" s="2973"/>
      <c r="P43" s="3603"/>
      <c r="Q43" s="1506">
        <f t="shared" si="14"/>
        <v>111</v>
      </c>
      <c r="R43" s="714" t="s">
        <v>17</v>
      </c>
      <c r="S43" s="715">
        <f t="shared" si="10"/>
        <v>100</v>
      </c>
      <c r="T43" s="714" t="s">
        <v>17</v>
      </c>
      <c r="U43" s="715">
        <f t="shared" si="11"/>
        <v>100</v>
      </c>
      <c r="V43" s="714" t="s">
        <v>17</v>
      </c>
      <c r="W43" s="715">
        <f t="shared" si="12"/>
        <v>100</v>
      </c>
      <c r="X43" s="1509"/>
      <c r="Y43" s="3603"/>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1"/>
      <c r="M44" s="2915"/>
      <c r="N44" s="2915"/>
      <c r="O44" s="2973"/>
      <c r="P44" s="3603"/>
      <c r="Q44" s="1506">
        <f t="shared" si="14"/>
        <v>111</v>
      </c>
      <c r="R44" s="714" t="s">
        <v>17</v>
      </c>
      <c r="S44" s="715">
        <f t="shared" si="10"/>
        <v>100</v>
      </c>
      <c r="T44" s="714" t="s">
        <v>17</v>
      </c>
      <c r="U44" s="715">
        <f t="shared" si="11"/>
        <v>100</v>
      </c>
      <c r="V44" s="714" t="s">
        <v>17</v>
      </c>
      <c r="W44" s="715">
        <f t="shared" si="12"/>
        <v>100</v>
      </c>
      <c r="X44" s="1509"/>
      <c r="Y44" s="3603"/>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20"/>
      <c r="M45" s="2922"/>
      <c r="N45" s="2922"/>
      <c r="O45" s="2974"/>
      <c r="P45" s="3603"/>
      <c r="Q45" s="1506">
        <f t="shared" si="14"/>
        <v>111</v>
      </c>
      <c r="R45" s="717" t="s">
        <v>17</v>
      </c>
      <c r="S45" s="718">
        <f t="shared" si="10"/>
        <v>100</v>
      </c>
      <c r="T45" s="717" t="s">
        <v>17</v>
      </c>
      <c r="U45" s="718">
        <f t="shared" si="11"/>
        <v>100</v>
      </c>
      <c r="V45" s="717" t="s">
        <v>17</v>
      </c>
      <c r="W45" s="718">
        <f t="shared" si="12"/>
        <v>100</v>
      </c>
      <c r="X45" s="719"/>
      <c r="Y45" s="3603"/>
      <c r="Z45" s="720">
        <f t="shared" si="13"/>
        <v>111</v>
      </c>
      <c r="AA45" s="1507">
        <f t="shared" si="3"/>
        <v>1</v>
      </c>
      <c r="AB45" s="1507">
        <f t="shared" si="4"/>
        <v>1</v>
      </c>
      <c r="AC45" s="1507">
        <f t="shared" si="5"/>
        <v>1</v>
      </c>
    </row>
    <row r="46" spans="1:29" ht="15">
      <c r="A46" s="438" t="s">
        <v>2481</v>
      </c>
      <c r="B46" s="2138" t="s">
        <v>2517</v>
      </c>
      <c r="C46" s="638" t="s">
        <v>1</v>
      </c>
      <c r="D46" s="440"/>
      <c r="E46" s="441">
        <f>Sheet3!N2</f>
        <v>600</v>
      </c>
      <c r="F46" s="442"/>
      <c r="G46" s="443">
        <f>Sheet3!N4</f>
        <v>625</v>
      </c>
      <c r="H46" s="444"/>
      <c r="I46" s="441">
        <f>Sheet3!N5</f>
        <v>504</v>
      </c>
      <c r="J46" s="444"/>
      <c r="K46" s="723"/>
      <c r="L46" s="2923"/>
      <c r="M46" s="2924"/>
      <c r="N46" s="2915"/>
      <c r="O46" s="2924"/>
      <c r="P46" s="3585" t="str">
        <f>A46</f>
        <v>成交单价</v>
      </c>
      <c r="Q46" s="3585"/>
      <c r="R46" s="3598">
        <f>E46</f>
        <v>600</v>
      </c>
      <c r="S46" s="3598"/>
      <c r="T46" s="3598">
        <f>G46</f>
        <v>625</v>
      </c>
      <c r="U46" s="3598"/>
      <c r="V46" s="3598">
        <f>I46</f>
        <v>504</v>
      </c>
      <c r="W46" s="3598"/>
      <c r="X46" s="699"/>
      <c r="Y46" s="721"/>
      <c r="Z46" s="699"/>
      <c r="AA46" s="699"/>
      <c r="AB46" s="699"/>
      <c r="AC46" s="699"/>
    </row>
    <row r="47" spans="1:29" ht="15.75" thickBot="1">
      <c r="A47" s="445" t="s">
        <v>2430</v>
      </c>
      <c r="B47" s="639"/>
      <c r="C47" s="448">
        <f>R48</f>
        <v>620</v>
      </c>
      <c r="D47" s="2508" t="s">
        <v>2821</v>
      </c>
      <c r="E47" s="448">
        <f>R47</f>
        <v>638</v>
      </c>
      <c r="F47" s="2509"/>
      <c r="G47" s="447">
        <f>T47</f>
        <v>662</v>
      </c>
      <c r="H47" s="2509"/>
      <c r="I47" s="448">
        <f>V47</f>
        <v>561</v>
      </c>
      <c r="J47" s="2509"/>
      <c r="K47" s="2511">
        <f>F47+H47+J47</f>
        <v>0</v>
      </c>
      <c r="L47" s="2923"/>
      <c r="M47" s="2924"/>
      <c r="N47" s="2924"/>
      <c r="O47" s="2924"/>
      <c r="P47" s="3585" t="str">
        <f>A47</f>
        <v>比较价值（元/平方米）</v>
      </c>
      <c r="Q47" s="3585"/>
      <c r="R47" s="3604">
        <f>ROUND(PRODUCT(R46,AA7:AA45),0)</f>
        <v>638</v>
      </c>
      <c r="S47" s="3604"/>
      <c r="T47" s="3604">
        <f>ROUND(PRODUCT(T46,AB7:AB45),0)</f>
        <v>662</v>
      </c>
      <c r="U47" s="3604"/>
      <c r="V47" s="3604">
        <f>ROUND(PRODUCT(V46,AC7:AC45),0)</f>
        <v>561</v>
      </c>
      <c r="W47" s="3604"/>
      <c r="X47" s="699"/>
      <c r="Y47" s="699"/>
      <c r="Z47" s="699"/>
      <c r="AA47" s="699"/>
      <c r="AB47" s="699"/>
      <c r="AC47" s="699"/>
    </row>
    <row r="48" spans="1:29" ht="15.75" thickBot="1">
      <c r="A48" s="449" t="s">
        <v>2518</v>
      </c>
      <c r="B48" s="450"/>
      <c r="C48" s="451">
        <f>R48</f>
        <v>620</v>
      </c>
      <c r="D48" s="451"/>
      <c r="E48" s="451"/>
      <c r="F48" s="451"/>
      <c r="G48" s="451"/>
      <c r="H48" s="451"/>
      <c r="I48" s="451"/>
      <c r="J48" s="451"/>
      <c r="K48" s="724"/>
      <c r="L48" s="2923"/>
      <c r="M48" s="2924"/>
      <c r="N48" s="2924"/>
      <c r="O48" s="2924"/>
      <c r="P48" s="3605" t="str">
        <f>A48</f>
        <v>估价对象XX用房的比较价值（楼面单价，元/平方米）</v>
      </c>
      <c r="Q48" s="3606"/>
      <c r="R48" s="3607">
        <f>ROUND(IF(D47="简单平均",AVERAGE(R47:W47),R47*F47+T47*H47+V47*J47),0)</f>
        <v>620</v>
      </c>
      <c r="S48" s="3607"/>
      <c r="T48" s="3607"/>
      <c r="U48" s="3607"/>
      <c r="V48" s="3607"/>
      <c r="W48" s="3607"/>
      <c r="X48" s="699"/>
      <c r="Y48" s="699"/>
      <c r="Z48" s="699"/>
      <c r="AA48" s="699"/>
      <c r="AB48" s="699"/>
      <c r="AC48" s="699"/>
    </row>
    <row r="49" spans="1:29">
      <c r="A49" s="2924"/>
      <c r="B49" s="2924"/>
      <c r="C49" s="2924"/>
      <c r="D49" s="2924"/>
      <c r="E49" s="2924"/>
      <c r="F49" s="2924"/>
      <c r="G49" s="2928"/>
      <c r="H49" s="2924"/>
      <c r="I49" s="2924"/>
      <c r="J49" s="2924"/>
      <c r="K49" s="2929"/>
      <c r="L49" s="2925"/>
      <c r="M49" s="2924"/>
      <c r="N49" s="2924"/>
      <c r="O49" s="2924"/>
      <c r="P49" s="2924"/>
      <c r="Q49" s="2924"/>
      <c r="R49" s="2924"/>
      <c r="S49" s="2924"/>
      <c r="T49" s="2924"/>
      <c r="U49" s="2924"/>
      <c r="V49" s="2924"/>
      <c r="W49" s="2924"/>
      <c r="X49" s="2924"/>
      <c r="Y49" s="2924"/>
      <c r="Z49" s="2924"/>
      <c r="AA49" s="2924"/>
      <c r="AB49" s="2924"/>
      <c r="AC49" s="2924"/>
    </row>
    <row r="50" spans="1:29">
      <c r="A50" s="2924"/>
      <c r="B50" s="2924"/>
      <c r="C50" s="2924"/>
      <c r="D50" s="2924"/>
      <c r="E50" s="2924"/>
      <c r="F50" s="2924"/>
      <c r="G50" s="2924"/>
      <c r="H50" s="2924"/>
      <c r="I50" s="2924"/>
      <c r="J50" s="2924"/>
      <c r="K50" s="2929"/>
      <c r="L50" s="2925"/>
      <c r="M50" s="2924"/>
      <c r="N50" s="2924"/>
      <c r="O50" s="2924"/>
      <c r="P50" s="2924"/>
      <c r="Q50" s="2924"/>
      <c r="R50" s="2924"/>
      <c r="S50" s="2924"/>
      <c r="T50" s="2924"/>
      <c r="U50" s="2924"/>
      <c r="V50" s="2924"/>
      <c r="W50" s="2924"/>
      <c r="X50" s="2924"/>
      <c r="Y50" s="2924"/>
      <c r="Z50" s="2924"/>
      <c r="AA50" s="2924"/>
      <c r="AB50" s="2924"/>
      <c r="AC50" s="2924"/>
    </row>
    <row r="51" spans="1:29" ht="13.5" customHeight="1">
      <c r="A51" s="2924"/>
      <c r="B51" s="2924"/>
      <c r="C51" s="454" t="s">
        <v>2432</v>
      </c>
      <c r="D51" s="455"/>
      <c r="E51" s="456">
        <f>IF(E46&lt;E47,E47/E46-1,E46/E47-1)</f>
        <v>6.3333333333333242E-2</v>
      </c>
      <c r="F51" s="457" t="str">
        <f>IF(OR(E51&gt;=0.3,E51&lt;=-0.3),"超过30%","")</f>
        <v/>
      </c>
      <c r="G51" s="456">
        <f>IF(G46&lt;G47,G47/G46-1,G46/G47-1)</f>
        <v>5.9199999999999919E-2</v>
      </c>
      <c r="H51" s="457" t="str">
        <f>IF(OR(G51&gt;=0.3,G51&lt;=-0.3),"超过30%","")</f>
        <v/>
      </c>
      <c r="I51" s="456">
        <f>IF(I46&lt;I47,I47/I46-1,I46/I47-1)</f>
        <v>0.11309523809523814</v>
      </c>
      <c r="J51" s="457" t="str">
        <f>IF(OR(I51&gt;=0.3,I51&lt;=-0.3),"超过30%","")</f>
        <v/>
      </c>
      <c r="K51" s="2929"/>
      <c r="L51" s="2925"/>
      <c r="M51" s="2924"/>
      <c r="N51" s="2924"/>
      <c r="O51" s="2924"/>
      <c r="P51" s="2924"/>
      <c r="Q51" s="2924"/>
      <c r="R51" s="2924"/>
      <c r="S51" s="2924"/>
      <c r="T51" s="2924"/>
      <c r="U51" s="2924"/>
      <c r="V51" s="2924"/>
      <c r="W51" s="2924"/>
      <c r="X51" s="2924"/>
      <c r="Y51" s="2924"/>
      <c r="Z51" s="2924"/>
      <c r="AA51" s="2924"/>
      <c r="AB51" s="2924"/>
      <c r="AC51" s="2924"/>
    </row>
    <row r="52" spans="1:29" ht="13.5" customHeight="1">
      <c r="A52" s="2924"/>
      <c r="B52" s="2924"/>
      <c r="C52" s="454" t="s">
        <v>2433</v>
      </c>
      <c r="D52" s="458"/>
      <c r="E52" s="456">
        <f>IF(E47&lt;G47,G47/E47-1,E47/G47-1)</f>
        <v>3.7617554858934144E-2</v>
      </c>
      <c r="F52" s="457" t="str">
        <f>IF(OR(E52&gt;=0.2,E52&lt;=-0.2),"超过20%","")</f>
        <v/>
      </c>
      <c r="G52" s="456">
        <f>IF(G47&lt;I47,I47/G47-1,G47/I47-1)</f>
        <v>0.18003565062388582</v>
      </c>
      <c r="H52" s="457" t="str">
        <f>IF(OR(G52&gt;=0.2,G52&lt;=-0.2),"超过20%","")</f>
        <v/>
      </c>
      <c r="I52" s="456">
        <f>IF(I47&lt;E47,E47/I47-1,I47/E47-1)</f>
        <v>0.13725490196078427</v>
      </c>
      <c r="J52" s="457" t="str">
        <f>IF(OR(I52&gt;=0.2,I52&lt;=-0.2),"超过20%","")</f>
        <v/>
      </c>
      <c r="K52" s="2929"/>
      <c r="L52" s="2925"/>
      <c r="M52" s="2924"/>
      <c r="N52" s="2924"/>
      <c r="O52" s="2924"/>
      <c r="P52" s="2924"/>
      <c r="Q52" s="2924"/>
      <c r="R52" s="2924"/>
      <c r="S52" s="2924"/>
      <c r="T52" s="2924"/>
      <c r="U52" s="2924"/>
      <c r="V52" s="2924"/>
      <c r="W52" s="2924"/>
      <c r="X52" s="2924"/>
      <c r="Y52" s="2924"/>
      <c r="Z52" s="2924"/>
      <c r="AA52" s="2924"/>
      <c r="AB52" s="2924"/>
      <c r="AC52" s="2924"/>
    </row>
    <row r="53" spans="1:29" s="459" customFormat="1" ht="13.5" customHeight="1">
      <c r="A53" s="2927"/>
      <c r="B53" s="2927"/>
      <c r="C53" s="454" t="s">
        <v>2434</v>
      </c>
      <c r="D53" s="458"/>
      <c r="E53" s="456">
        <f>IF(E46&lt;G46,G46/E46-1,E46/G46-1)</f>
        <v>4.1666666666666741E-2</v>
      </c>
      <c r="F53" s="457" t="str">
        <f>IF(OR(E53&gt;=0.3,E53&lt;=-0.3),"超过30%","")</f>
        <v/>
      </c>
      <c r="G53" s="456">
        <f>IF(G46&lt;I46,I46/G46-1,G46/I46-1)</f>
        <v>0.24007936507936511</v>
      </c>
      <c r="H53" s="457" t="str">
        <f>IF(OR(G53&gt;=0.3,G53&lt;=-0.3),"超过30%","")</f>
        <v/>
      </c>
      <c r="I53" s="456">
        <f>IF(I46&lt;E46,E46/I46-1,I46/E46-1)</f>
        <v>0.19047619047619047</v>
      </c>
      <c r="J53" s="457" t="str">
        <f>IF(OR(I53&gt;=0.3,I53&lt;=-0.3),"超过30%","")</f>
        <v/>
      </c>
      <c r="K53" s="2932"/>
      <c r="L53" s="2926"/>
      <c r="M53" s="2927"/>
      <c r="N53" s="2927"/>
      <c r="O53" s="2927"/>
      <c r="P53" s="2927"/>
      <c r="Q53" s="2927"/>
      <c r="R53" s="2927"/>
      <c r="S53" s="2927"/>
      <c r="T53" s="2927"/>
      <c r="U53" s="2927"/>
      <c r="V53" s="2927"/>
      <c r="W53" s="2927"/>
      <c r="X53" s="2927"/>
      <c r="Y53" s="2927"/>
      <c r="Z53" s="2927"/>
      <c r="AA53" s="2927"/>
      <c r="AB53" s="2927"/>
      <c r="AC53" s="2927"/>
    </row>
    <row r="54" spans="1:29" s="459" customFormat="1" ht="15" thickBot="1">
      <c r="A54" s="2927"/>
      <c r="B54" s="2930"/>
      <c r="C54" s="702"/>
      <c r="D54" s="700"/>
      <c r="E54" s="700"/>
      <c r="F54" s="700"/>
      <c r="G54" s="700"/>
      <c r="H54" s="700"/>
      <c r="I54" s="700"/>
      <c r="J54" s="700"/>
      <c r="K54" s="2932"/>
      <c r="L54" s="2926"/>
      <c r="M54" s="2927"/>
      <c r="N54" s="2927"/>
      <c r="O54" s="2927"/>
      <c r="P54" s="2927"/>
      <c r="Q54" s="2927"/>
      <c r="R54" s="2927"/>
      <c r="S54" s="2927"/>
      <c r="T54" s="2927"/>
      <c r="U54" s="2927"/>
      <c r="V54" s="2927"/>
      <c r="W54" s="2927"/>
      <c r="X54" s="2927"/>
      <c r="Y54" s="2927"/>
      <c r="Z54" s="2927"/>
      <c r="AA54" s="2927"/>
      <c r="AB54" s="2927"/>
      <c r="AC54" s="2927"/>
    </row>
    <row r="55" spans="1:29" ht="27" customHeight="1">
      <c r="A55" s="640" t="s">
        <v>2519</v>
      </c>
      <c r="B55" s="641" t="s">
        <v>2520</v>
      </c>
      <c r="C55" s="2139" t="s">
        <v>2521</v>
      </c>
      <c r="D55" s="2140" t="s">
        <v>2522</v>
      </c>
      <c r="E55" s="642" t="s">
        <v>2523</v>
      </c>
      <c r="F55" s="1021" t="s">
        <v>2524</v>
      </c>
      <c r="G55" s="3586" t="s">
        <v>2525</v>
      </c>
      <c r="H55" s="3608"/>
      <c r="I55" s="140" t="s">
        <v>2526</v>
      </c>
      <c r="J55" s="2141">
        <f>项目基本情况!F35</f>
        <v>0</v>
      </c>
      <c r="K55" s="2142" t="s">
        <v>2527</v>
      </c>
      <c r="L55" s="2925"/>
      <c r="M55" s="2924"/>
      <c r="N55" s="2924"/>
      <c r="O55" s="2924"/>
      <c r="P55" s="2924"/>
      <c r="Q55" s="2924"/>
      <c r="R55" s="2924"/>
      <c r="S55" s="2924"/>
      <c r="T55" s="2924"/>
      <c r="U55" s="2924"/>
      <c r="V55" s="2924"/>
      <c r="W55" s="2924"/>
      <c r="X55" s="2924"/>
      <c r="Y55" s="2924"/>
      <c r="Z55" s="2924"/>
      <c r="AA55" s="2924"/>
      <c r="AB55" s="2924"/>
      <c r="AC55" s="2924"/>
    </row>
    <row r="56" spans="1:29" s="648" customFormat="1">
      <c r="A56" s="644" t="s">
        <v>2528</v>
      </c>
      <c r="B56" s="645">
        <f>C48</f>
        <v>620</v>
      </c>
      <c r="C56" s="646">
        <v>1</v>
      </c>
      <c r="D56" s="1075">
        <v>1</v>
      </c>
      <c r="E56" s="646">
        <f>'数据-汇总表'!E8+'数据-汇总表'!E9</f>
        <v>51169.8</v>
      </c>
      <c r="F56" s="1017">
        <f t="shared" ref="F56:F65" si="15">ROUND(B56*E56/10000,0)</f>
        <v>3173</v>
      </c>
      <c r="G56" s="3609"/>
      <c r="H56" s="3585"/>
      <c r="I56" s="1022">
        <v>1</v>
      </c>
      <c r="J56" s="1025">
        <v>1</v>
      </c>
      <c r="K56" s="2927"/>
      <c r="L56" s="2981"/>
      <c r="M56" s="2981"/>
      <c r="N56" s="2981"/>
      <c r="O56" s="2981"/>
      <c r="P56" s="2981"/>
      <c r="Q56" s="2981"/>
      <c r="R56" s="2981"/>
      <c r="S56" s="2981"/>
      <c r="T56" s="2981"/>
      <c r="U56" s="2981"/>
      <c r="V56" s="2981"/>
      <c r="W56" s="2981"/>
      <c r="X56" s="2981"/>
      <c r="Y56" s="2981"/>
      <c r="Z56" s="2981"/>
      <c r="AA56" s="2981"/>
      <c r="AB56" s="2981"/>
      <c r="AC56" s="2981"/>
    </row>
    <row r="57" spans="1:29" s="648" customFormat="1">
      <c r="A57" s="3346" t="s">
        <v>2529</v>
      </c>
      <c r="B57" s="224">
        <f>ROUND($C$48*C57*D57,0)</f>
        <v>0</v>
      </c>
      <c r="C57" s="176">
        <f t="shared" ref="C57:C65" si="16">IF($C$55="北京市系数",I57,J57)</f>
        <v>0</v>
      </c>
      <c r="D57" s="1076">
        <v>0.25</v>
      </c>
      <c r="E57" s="650">
        <f>清单!J16</f>
        <v>18377.89</v>
      </c>
      <c r="F57" s="1017">
        <f t="shared" si="15"/>
        <v>0</v>
      </c>
      <c r="G57" s="3610" t="s">
        <v>2530</v>
      </c>
      <c r="H57" s="1018">
        <f>项目基本情况!B37</f>
        <v>0</v>
      </c>
      <c r="I57" s="1022">
        <f>SUMIF(修正!A45:A56,H57,修正!B45:B56)</f>
        <v>0</v>
      </c>
      <c r="J57" s="1026"/>
      <c r="K57" s="2924"/>
      <c r="L57" s="2981"/>
      <c r="M57" s="2981"/>
      <c r="N57" s="2981"/>
      <c r="O57" s="2981"/>
      <c r="P57" s="2981"/>
      <c r="Q57" s="2981"/>
      <c r="R57" s="2981"/>
      <c r="S57" s="2981"/>
      <c r="T57" s="2981"/>
      <c r="U57" s="2981"/>
      <c r="V57" s="2981"/>
      <c r="W57" s="2981"/>
      <c r="X57" s="2981"/>
      <c r="Y57" s="2981"/>
      <c r="Z57" s="2981"/>
      <c r="AA57" s="2981"/>
      <c r="AB57" s="2981"/>
      <c r="AC57" s="2981"/>
    </row>
    <row r="58" spans="1:29" s="648" customFormat="1">
      <c r="A58" s="649" t="s">
        <v>2531</v>
      </c>
      <c r="B58" s="224">
        <f t="shared" ref="B58:B65" si="17">ROUND($C$48*C58*D58,0)</f>
        <v>0</v>
      </c>
      <c r="C58" s="176">
        <f t="shared" si="16"/>
        <v>0</v>
      </c>
      <c r="D58" s="1076">
        <v>0.25</v>
      </c>
      <c r="E58" s="650"/>
      <c r="F58" s="1017">
        <f t="shared" si="15"/>
        <v>0</v>
      </c>
      <c r="G58" s="3610"/>
      <c r="H58" s="1018">
        <f>项目基本情况!B37</f>
        <v>0</v>
      </c>
      <c r="I58" s="1022">
        <f>SUMIF(修正!A45:A56,H58,修正!C45:C56)</f>
        <v>0</v>
      </c>
      <c r="J58" s="1026"/>
      <c r="K58" s="2927"/>
      <c r="L58" s="2981"/>
      <c r="M58" s="2981"/>
      <c r="N58" s="2981"/>
      <c r="O58" s="2981"/>
      <c r="P58" s="2981"/>
      <c r="Q58" s="2981"/>
      <c r="R58" s="2981"/>
      <c r="S58" s="2981"/>
      <c r="T58" s="2981"/>
      <c r="U58" s="2981"/>
      <c r="V58" s="2981"/>
      <c r="W58" s="2981"/>
      <c r="X58" s="2981"/>
      <c r="Y58" s="2981"/>
      <c r="Z58" s="2981"/>
      <c r="AA58" s="2981"/>
      <c r="AB58" s="2981"/>
      <c r="AC58" s="2981"/>
    </row>
    <row r="59" spans="1:29" s="648" customFormat="1">
      <c r="A59" s="649" t="s">
        <v>2532</v>
      </c>
      <c r="B59" s="224">
        <f t="shared" si="17"/>
        <v>0</v>
      </c>
      <c r="C59" s="176">
        <f t="shared" si="16"/>
        <v>0</v>
      </c>
      <c r="D59" s="1076">
        <v>0.25</v>
      </c>
      <c r="E59" s="650"/>
      <c r="F59" s="1017">
        <f t="shared" si="15"/>
        <v>0</v>
      </c>
      <c r="G59" s="3610"/>
      <c r="H59" s="1018">
        <f>项目基本情况!B37</f>
        <v>0</v>
      </c>
      <c r="I59" s="1022">
        <f>SUMIF(修正!A45:A56,H59,修正!D45:D56)</f>
        <v>0</v>
      </c>
      <c r="J59" s="1026"/>
      <c r="K59" s="2924"/>
      <c r="L59" s="2981"/>
      <c r="M59" s="2981"/>
      <c r="N59" s="2981"/>
      <c r="O59" s="2981"/>
      <c r="P59" s="2981"/>
      <c r="Q59" s="2981"/>
      <c r="R59" s="2981"/>
      <c r="S59" s="2981"/>
      <c r="T59" s="2981"/>
      <c r="U59" s="2981"/>
      <c r="V59" s="2981"/>
      <c r="W59" s="2981"/>
      <c r="X59" s="2981"/>
      <c r="Y59" s="2981"/>
      <c r="Z59" s="2981"/>
      <c r="AA59" s="2981"/>
      <c r="AB59" s="2981"/>
      <c r="AC59" s="2981"/>
    </row>
    <row r="60" spans="1:29" s="648" customFormat="1">
      <c r="A60" s="649" t="s">
        <v>2533</v>
      </c>
      <c r="B60" s="224">
        <f t="shared" si="17"/>
        <v>0</v>
      </c>
      <c r="C60" s="176">
        <f t="shared" si="16"/>
        <v>0</v>
      </c>
      <c r="D60" s="1076">
        <v>0.25</v>
      </c>
      <c r="E60" s="650"/>
      <c r="F60" s="1017">
        <f t="shared" si="15"/>
        <v>0</v>
      </c>
      <c r="G60" s="3610"/>
      <c r="H60" s="1018">
        <f>项目基本情况!B37</f>
        <v>0</v>
      </c>
      <c r="I60" s="1022">
        <f>SUMIF(修正!A45:A56,H60,修正!E45:E56)</f>
        <v>0</v>
      </c>
      <c r="J60" s="1026"/>
      <c r="K60" s="2927"/>
      <c r="L60" s="2981"/>
      <c r="M60" s="2981"/>
      <c r="N60" s="2981"/>
      <c r="O60" s="2981"/>
      <c r="P60" s="2981"/>
      <c r="Q60" s="2981"/>
      <c r="R60" s="2981"/>
      <c r="S60" s="2981"/>
      <c r="T60" s="2981"/>
      <c r="U60" s="2981"/>
      <c r="V60" s="2981"/>
      <c r="W60" s="2981"/>
      <c r="X60" s="2981"/>
      <c r="Y60" s="2981"/>
      <c r="Z60" s="2981"/>
      <c r="AA60" s="2981"/>
      <c r="AB60" s="2981"/>
      <c r="AC60" s="2981"/>
    </row>
    <row r="61" spans="1:29" s="648" customFormat="1">
      <c r="A61" s="649" t="s">
        <v>2534</v>
      </c>
      <c r="B61" s="224">
        <f t="shared" si="17"/>
        <v>0</v>
      </c>
      <c r="C61" s="176">
        <f t="shared" si="16"/>
        <v>0</v>
      </c>
      <c r="D61" s="1076">
        <v>0.25</v>
      </c>
      <c r="E61" s="223">
        <f>'数据-汇总表'!E11</f>
        <v>0</v>
      </c>
      <c r="F61" s="1017">
        <f t="shared" si="15"/>
        <v>0</v>
      </c>
      <c r="G61" s="2143" t="s">
        <v>2535</v>
      </c>
      <c r="H61" s="1018">
        <f>项目基本情况!C37</f>
        <v>0</v>
      </c>
      <c r="I61" s="1022">
        <f>SUMIF(修正!A45:A56,H61,修正!F45:F56)</f>
        <v>0</v>
      </c>
      <c r="J61" s="1026"/>
      <c r="K61" s="2924"/>
      <c r="L61" s="2981"/>
      <c r="M61" s="2981"/>
      <c r="N61" s="2981"/>
      <c r="O61" s="2981"/>
      <c r="P61" s="2981"/>
      <c r="Q61" s="2981"/>
      <c r="R61" s="2981"/>
      <c r="S61" s="2981"/>
      <c r="T61" s="2981"/>
      <c r="U61" s="2981"/>
      <c r="V61" s="2981"/>
      <c r="W61" s="2981"/>
      <c r="X61" s="2981"/>
      <c r="Y61" s="2981"/>
      <c r="Z61" s="2981"/>
      <c r="AA61" s="2981"/>
      <c r="AB61" s="2981"/>
      <c r="AC61" s="2981"/>
    </row>
    <row r="62" spans="1:29" s="648" customFormat="1">
      <c r="A62" s="649" t="s">
        <v>2536</v>
      </c>
      <c r="B62" s="224">
        <f t="shared" si="17"/>
        <v>0</v>
      </c>
      <c r="C62" s="176">
        <f t="shared" si="16"/>
        <v>0</v>
      </c>
      <c r="D62" s="1076">
        <v>0.25</v>
      </c>
      <c r="E62" s="223">
        <f>'数据-汇总表'!E12</f>
        <v>0</v>
      </c>
      <c r="F62" s="1017">
        <f t="shared" si="15"/>
        <v>0</v>
      </c>
      <c r="G62" s="1023" t="s">
        <v>2537</v>
      </c>
      <c r="H62" s="1018">
        <f>IF(G62="商业",项目基本情况!B37,IF(G62="办公",项目基本情况!C37,IF(G62="住宅",项目基本情况!D37,项目基本情况!E37)))</f>
        <v>0</v>
      </c>
      <c r="I62" s="1022">
        <f>SUMIF(修正!A45:A56,H62,修正!G45:G56)</f>
        <v>0</v>
      </c>
      <c r="J62" s="1026"/>
      <c r="K62" s="2927"/>
      <c r="L62" s="2981"/>
      <c r="M62" s="2981"/>
      <c r="N62" s="2981"/>
      <c r="O62" s="2981"/>
      <c r="P62" s="2981"/>
      <c r="Q62" s="2981"/>
      <c r="R62" s="2981"/>
      <c r="S62" s="2981"/>
      <c r="T62" s="2981"/>
      <c r="U62" s="2981"/>
      <c r="V62" s="2981"/>
      <c r="W62" s="2981"/>
      <c r="X62" s="2981"/>
      <c r="Y62" s="2981"/>
      <c r="Z62" s="2981"/>
      <c r="AA62" s="2981"/>
      <c r="AB62" s="2981"/>
      <c r="AC62" s="2981"/>
    </row>
    <row r="63" spans="1:29" s="648" customFormat="1">
      <c r="A63" s="649" t="s">
        <v>2538</v>
      </c>
      <c r="B63" s="224">
        <f t="shared" si="17"/>
        <v>0</v>
      </c>
      <c r="C63" s="176">
        <f t="shared" si="16"/>
        <v>0</v>
      </c>
      <c r="D63" s="1076">
        <v>0.25</v>
      </c>
      <c r="E63" s="223">
        <f>'数据-汇总表'!E13</f>
        <v>0</v>
      </c>
      <c r="F63" s="1017">
        <f t="shared" si="15"/>
        <v>0</v>
      </c>
      <c r="G63" s="1023" t="s">
        <v>2539</v>
      </c>
      <c r="H63" s="1018">
        <f>IF(G63="商业",项目基本情况!B37,IF(G63="办公",项目基本情况!C37,IF(G63="住宅",项目基本情况!D37,项目基本情况!E37)))</f>
        <v>0</v>
      </c>
      <c r="I63" s="1022">
        <f>SUMIF(修正!A45:A56,H63,修正!H45:H56)</f>
        <v>0</v>
      </c>
      <c r="J63" s="1026"/>
      <c r="K63" s="2924"/>
      <c r="L63" s="2981"/>
      <c r="M63" s="2981"/>
      <c r="N63" s="2981"/>
      <c r="O63" s="2981"/>
      <c r="P63" s="2981"/>
      <c r="Q63" s="2981"/>
      <c r="R63" s="2981"/>
      <c r="S63" s="2981"/>
      <c r="T63" s="2981"/>
      <c r="U63" s="2981"/>
      <c r="V63" s="2981"/>
      <c r="W63" s="2981"/>
      <c r="X63" s="2981"/>
      <c r="Y63" s="2981"/>
      <c r="Z63" s="2981"/>
      <c r="AA63" s="2981"/>
      <c r="AB63" s="2981"/>
      <c r="AC63" s="2981"/>
    </row>
    <row r="64" spans="1:29" s="648" customFormat="1">
      <c r="A64" s="649" t="s">
        <v>2540</v>
      </c>
      <c r="B64" s="224">
        <f t="shared" si="17"/>
        <v>0</v>
      </c>
      <c r="C64" s="176">
        <f t="shared" si="16"/>
        <v>0</v>
      </c>
      <c r="D64" s="1076">
        <v>0.25</v>
      </c>
      <c r="E64" s="223">
        <f>'数据-汇总表'!E14</f>
        <v>351.21</v>
      </c>
      <c r="F64" s="1017">
        <f t="shared" si="15"/>
        <v>0</v>
      </c>
      <c r="G64" s="2143" t="s">
        <v>2530</v>
      </c>
      <c r="H64" s="1018">
        <f>项目基本情况!B37</f>
        <v>0</v>
      </c>
      <c r="I64" s="1022">
        <f>SUMIF(修正!A45:A56,H64,修正!H45:H56)</f>
        <v>0</v>
      </c>
      <c r="J64" s="1026"/>
      <c r="K64" s="2927"/>
      <c r="L64" s="2981"/>
      <c r="M64" s="2981"/>
      <c r="N64" s="2981"/>
      <c r="O64" s="2981"/>
      <c r="P64" s="2981"/>
      <c r="Q64" s="2981"/>
      <c r="R64" s="2981"/>
      <c r="S64" s="2981"/>
      <c r="T64" s="2981"/>
      <c r="U64" s="2981"/>
      <c r="V64" s="2981"/>
      <c r="W64" s="2981"/>
      <c r="X64" s="2981"/>
      <c r="Y64" s="2981"/>
      <c r="Z64" s="2981"/>
      <c r="AA64" s="2981"/>
      <c r="AB64" s="2981"/>
      <c r="AC64" s="2981"/>
    </row>
    <row r="65" spans="1:29" s="648" customFormat="1" ht="15" thickBot="1">
      <c r="A65" s="649" t="s">
        <v>2541</v>
      </c>
      <c r="B65" s="224">
        <f t="shared" si="17"/>
        <v>0</v>
      </c>
      <c r="C65" s="176">
        <f t="shared" si="16"/>
        <v>0</v>
      </c>
      <c r="D65" s="1076">
        <v>0.25</v>
      </c>
      <c r="E65" s="223">
        <f>'数据-汇总表'!E15</f>
        <v>0</v>
      </c>
      <c r="F65" s="1017">
        <f t="shared" si="15"/>
        <v>0</v>
      </c>
      <c r="G65" s="2144" t="s">
        <v>2535</v>
      </c>
      <c r="H65" s="1028">
        <f>项目基本情况!C37</f>
        <v>0</v>
      </c>
      <c r="I65" s="1024">
        <f>SUMIF(修正!A45:A56,H65,修正!H45:H56)</f>
        <v>0</v>
      </c>
      <c r="J65" s="1027"/>
      <c r="K65" s="2924"/>
      <c r="L65" s="2981"/>
      <c r="M65" s="2981"/>
      <c r="N65" s="2981"/>
      <c r="O65" s="2981"/>
      <c r="P65" s="2981"/>
      <c r="Q65" s="2981"/>
      <c r="R65" s="2981"/>
      <c r="S65" s="2981"/>
      <c r="T65" s="2981"/>
      <c r="U65" s="2981"/>
      <c r="V65" s="2981"/>
      <c r="W65" s="2981"/>
      <c r="X65" s="2981"/>
      <c r="Y65" s="2981"/>
      <c r="Z65" s="2981"/>
      <c r="AA65" s="2981"/>
      <c r="AB65" s="2981"/>
      <c r="AC65" s="2981"/>
    </row>
    <row r="66" spans="1:29" s="648" customFormat="1" ht="13.5" thickBot="1">
      <c r="A66" s="651" t="s">
        <v>2542</v>
      </c>
      <c r="B66" s="652" t="s">
        <v>28</v>
      </c>
      <c r="C66" s="652" t="s">
        <v>29</v>
      </c>
      <c r="D66" s="652" t="s">
        <v>997</v>
      </c>
      <c r="E66" s="652">
        <f>IF(B46="楼面地价",SUM(E56:E65),'数据-汇总表'!D3)</f>
        <v>69898.900000000009</v>
      </c>
      <c r="F66" s="653">
        <f>IF(B46="楼面地价",SUM(F56:F65),ROUND(C48*E66/10000,0))</f>
        <v>3173</v>
      </c>
      <c r="G66" s="726"/>
      <c r="H66" s="726"/>
      <c r="I66" s="726"/>
      <c r="J66" s="726"/>
      <c r="K66" s="2982"/>
      <c r="L66" s="2981"/>
      <c r="M66" s="2981"/>
      <c r="N66" s="2981"/>
      <c r="O66" s="2981"/>
      <c r="P66" s="2981"/>
      <c r="Q66" s="2981"/>
      <c r="R66" s="2981"/>
      <c r="S66" s="2981"/>
      <c r="T66" s="2981"/>
      <c r="U66" s="2981"/>
      <c r="V66" s="2981"/>
      <c r="W66" s="2981"/>
      <c r="X66" s="2981"/>
      <c r="Y66" s="2981"/>
      <c r="Z66" s="2981"/>
      <c r="AA66" s="2981"/>
      <c r="AB66" s="2981"/>
      <c r="AC66" s="2981"/>
    </row>
    <row r="67" spans="1:29">
      <c r="A67" s="699"/>
      <c r="B67" s="701"/>
      <c r="C67" s="702"/>
      <c r="D67" s="699"/>
      <c r="E67" s="699"/>
      <c r="F67" s="699"/>
      <c r="G67" s="699"/>
      <c r="H67" s="699"/>
      <c r="I67" s="699"/>
      <c r="J67" s="1058"/>
      <c r="K67" s="1019"/>
      <c r="L67" s="1020"/>
      <c r="M67" s="1058"/>
      <c r="N67" s="1058"/>
      <c r="O67" s="1058"/>
      <c r="P67" s="2924"/>
      <c r="Q67" s="2924"/>
      <c r="R67" s="2924"/>
      <c r="S67" s="2924"/>
      <c r="T67" s="2924"/>
      <c r="U67" s="2924"/>
      <c r="V67" s="2924"/>
      <c r="W67" s="2924"/>
      <c r="X67" s="2924"/>
      <c r="Y67" s="2924"/>
      <c r="Z67" s="2924"/>
      <c r="AA67" s="2924"/>
      <c r="AB67" s="2924"/>
      <c r="AC67" s="2924"/>
    </row>
    <row r="68" spans="1:29">
      <c r="A68" s="699"/>
      <c r="B68" s="701"/>
      <c r="C68" s="701" t="str">
        <f>YEAR(C7)&amp;"-"&amp;MONTH(C7)&amp;"-1"</f>
        <v>2021-12-1</v>
      </c>
      <c r="D68" s="701">
        <f>EDATE(C68,-3)</f>
        <v>44440</v>
      </c>
      <c r="E68" s="701">
        <f>EDATE(D68,-3)</f>
        <v>44348</v>
      </c>
      <c r="F68" s="701">
        <f t="shared" ref="F68:O68" si="18">EDATE(E68,-3)</f>
        <v>44256</v>
      </c>
      <c r="G68" s="701">
        <f t="shared" si="18"/>
        <v>44166</v>
      </c>
      <c r="H68" s="701">
        <f t="shared" si="18"/>
        <v>44075</v>
      </c>
      <c r="I68" s="701">
        <f t="shared" si="18"/>
        <v>43983</v>
      </c>
      <c r="J68" s="701">
        <f t="shared" si="18"/>
        <v>43891</v>
      </c>
      <c r="K68" s="701">
        <f t="shared" si="18"/>
        <v>43800</v>
      </c>
      <c r="L68" s="701">
        <f t="shared" si="18"/>
        <v>43709</v>
      </c>
      <c r="M68" s="701">
        <f t="shared" si="18"/>
        <v>43617</v>
      </c>
      <c r="N68" s="701">
        <f t="shared" si="18"/>
        <v>43525</v>
      </c>
      <c r="O68" s="701">
        <f t="shared" si="18"/>
        <v>43435</v>
      </c>
      <c r="P68" s="2924"/>
      <c r="Q68" s="2924"/>
      <c r="R68" s="2924"/>
      <c r="S68" s="2924"/>
      <c r="T68" s="2924"/>
      <c r="U68" s="2924"/>
      <c r="V68" s="2924"/>
      <c r="W68" s="2924"/>
      <c r="X68" s="2924"/>
      <c r="Y68" s="2924"/>
      <c r="Z68" s="2924"/>
      <c r="AA68" s="2924"/>
      <c r="AB68" s="2924"/>
      <c r="AC68" s="2924"/>
    </row>
    <row r="69" spans="1:29" ht="21.75" thickBot="1">
      <c r="A69" s="703" t="s">
        <v>2435</v>
      </c>
      <c r="B69" s="699"/>
      <c r="C69" s="704"/>
      <c r="D69" s="704"/>
      <c r="E69" s="704"/>
      <c r="F69" s="705"/>
      <c r="G69" s="705"/>
      <c r="H69" s="704"/>
      <c r="I69" s="704"/>
      <c r="J69" s="1071"/>
      <c r="K69" s="1072"/>
      <c r="L69" s="1073"/>
      <c r="M69" s="1071"/>
      <c r="N69" s="2968"/>
      <c r="O69" s="2968"/>
      <c r="P69" s="2968"/>
      <c r="Q69" s="2938"/>
      <c r="R69" s="2924"/>
      <c r="S69" s="2924"/>
      <c r="T69" s="2924"/>
      <c r="U69" s="2924"/>
      <c r="V69" s="2924"/>
      <c r="W69" s="2924"/>
      <c r="X69" s="2924"/>
      <c r="Y69" s="2924"/>
      <c r="Z69" s="2924"/>
      <c r="AA69" s="2924"/>
      <c r="AB69" s="2924"/>
      <c r="AC69" s="2924"/>
    </row>
    <row r="70" spans="1:29" s="465" customFormat="1" ht="15">
      <c r="A70" s="2145" t="s">
        <v>2543</v>
      </c>
      <c r="B70" s="1241"/>
      <c r="C70" s="1316" t="str">
        <f>YEAR(C68)&amp;"-"&amp;ROUNDUP(MONTH(C68)/3,0)</f>
        <v>2021-4</v>
      </c>
      <c r="D70" s="1316" t="str">
        <f>YEAR(D68)&amp;"-"&amp;ROUNDUP(MONTH(D68)/3,0)</f>
        <v>2021-3</v>
      </c>
      <c r="E70" s="1316" t="str">
        <f t="shared" ref="E70:O70" si="19">YEAR(E68)&amp;"-"&amp;ROUNDUP(MONTH(E68)/3,0)</f>
        <v>2021-2</v>
      </c>
      <c r="F70" s="1316" t="str">
        <f t="shared" si="19"/>
        <v>2021-1</v>
      </c>
      <c r="G70" s="1316" t="str">
        <f t="shared" si="19"/>
        <v>2020-4</v>
      </c>
      <c r="H70" s="1316" t="str">
        <f t="shared" si="19"/>
        <v>2020-3</v>
      </c>
      <c r="I70" s="1316" t="str">
        <f t="shared" si="19"/>
        <v>2020-2</v>
      </c>
      <c r="J70" s="1316" t="str">
        <f t="shared" si="19"/>
        <v>2020-1</v>
      </c>
      <c r="K70" s="1316" t="str">
        <f t="shared" si="19"/>
        <v>2019-4</v>
      </c>
      <c r="L70" s="1316" t="str">
        <f t="shared" si="19"/>
        <v>2019-3</v>
      </c>
      <c r="M70" s="1316" t="str">
        <f t="shared" si="19"/>
        <v>2019-2</v>
      </c>
      <c r="N70" s="1316" t="str">
        <f t="shared" si="19"/>
        <v>2019-1</v>
      </c>
      <c r="O70" s="1316" t="str">
        <f t="shared" si="19"/>
        <v>2018-4</v>
      </c>
      <c r="P70" s="2975"/>
      <c r="Q70" s="2940"/>
      <c r="R70" s="2940"/>
      <c r="S70" s="2940"/>
      <c r="T70" s="2940"/>
      <c r="U70" s="2940"/>
      <c r="V70" s="2940"/>
      <c r="W70" s="2940"/>
      <c r="X70" s="2940"/>
      <c r="Y70" s="2940"/>
      <c r="Z70" s="2940"/>
      <c r="AA70" s="2940"/>
      <c r="AB70" s="2940"/>
      <c r="AC70" s="2940"/>
    </row>
    <row r="71" spans="1:29" s="113" customFormat="1" ht="30" customHeight="1">
      <c r="A71" s="2146" t="s">
        <v>2544</v>
      </c>
      <c r="B71" s="294" t="str">
        <f>"北京市平均增长率"&amp;TEXT(SUMIF(基准地价修正!N21:N25,A71,基准地价修正!P21:P25),"0.00%")</f>
        <v>北京市平均增长率1.83%</v>
      </c>
      <c r="C71" s="560">
        <v>100</v>
      </c>
      <c r="D71" s="552">
        <v>99.5</v>
      </c>
      <c r="E71" s="552">
        <v>99</v>
      </c>
      <c r="F71" s="552">
        <v>98.5</v>
      </c>
      <c r="G71" s="552">
        <v>98</v>
      </c>
      <c r="H71" s="552">
        <v>97.5</v>
      </c>
      <c r="I71" s="552">
        <v>97</v>
      </c>
      <c r="J71" s="552">
        <v>96.5</v>
      </c>
      <c r="K71" s="552">
        <v>96</v>
      </c>
      <c r="L71" s="552">
        <v>95.5</v>
      </c>
      <c r="M71" s="552">
        <v>95</v>
      </c>
      <c r="N71" s="552"/>
      <c r="O71" s="1313"/>
      <c r="P71" s="2938"/>
      <c r="Q71" s="2858"/>
      <c r="R71" s="2858"/>
      <c r="S71" s="2858"/>
      <c r="T71" s="2858"/>
      <c r="U71" s="2858"/>
      <c r="V71" s="2858"/>
      <c r="W71" s="2858"/>
      <c r="X71" s="2858"/>
      <c r="Y71" s="2858"/>
      <c r="Z71" s="2858"/>
      <c r="AA71" s="2858"/>
      <c r="AB71" s="2858"/>
      <c r="AC71" s="2858"/>
    </row>
    <row r="72" spans="1:29" s="113" customFormat="1" ht="15.75" thickBot="1">
      <c r="A72" s="472" t="s">
        <v>2346</v>
      </c>
      <c r="B72" s="473"/>
      <c r="C72" s="474"/>
      <c r="D72" s="475"/>
      <c r="E72" s="475"/>
      <c r="F72" s="475"/>
      <c r="G72" s="475"/>
      <c r="H72" s="475"/>
      <c r="I72" s="475"/>
      <c r="J72" s="475"/>
      <c r="K72" s="475"/>
      <c r="L72" s="475"/>
      <c r="M72" s="476"/>
      <c r="N72" s="475"/>
      <c r="O72" s="1074"/>
      <c r="P72" s="2938"/>
      <c r="Q72" s="2938"/>
      <c r="R72" s="2858"/>
      <c r="S72" s="2858"/>
      <c r="T72" s="2858"/>
      <c r="U72" s="2858"/>
      <c r="V72" s="2858"/>
      <c r="W72" s="2858"/>
      <c r="X72" s="2858"/>
      <c r="Y72" s="2858"/>
      <c r="Z72" s="2858"/>
      <c r="AA72" s="2858"/>
      <c r="AB72" s="2858"/>
      <c r="AC72" s="2858"/>
    </row>
    <row r="73" spans="1:29" s="113" customFormat="1" ht="15">
      <c r="A73" s="478" t="s">
        <v>2311</v>
      </c>
      <c r="B73" s="467"/>
      <c r="C73" s="479" t="s">
        <v>2413</v>
      </c>
      <c r="D73" s="480"/>
      <c r="E73" s="480"/>
      <c r="F73" s="480"/>
      <c r="G73" s="480"/>
      <c r="H73" s="480"/>
      <c r="I73" s="480"/>
      <c r="J73" s="480"/>
      <c r="K73" s="480"/>
      <c r="L73" s="481"/>
      <c r="M73" s="482"/>
      <c r="N73" s="2951"/>
      <c r="O73" s="2951"/>
      <c r="P73" s="2976"/>
      <c r="Q73" s="2938"/>
      <c r="R73" s="2858"/>
      <c r="S73" s="2858"/>
      <c r="T73" s="2858"/>
      <c r="U73" s="2858"/>
      <c r="V73" s="2858"/>
      <c r="W73" s="2858"/>
      <c r="X73" s="2858"/>
      <c r="Y73" s="2858"/>
      <c r="Z73" s="2858"/>
      <c r="AA73" s="2858"/>
      <c r="AB73" s="2858"/>
      <c r="AC73" s="2858"/>
    </row>
    <row r="74" spans="1:29" s="113" customFormat="1" ht="15.75" thickBot="1">
      <c r="A74" s="478"/>
      <c r="B74" s="467"/>
      <c r="C74" s="595">
        <v>100</v>
      </c>
      <c r="D74" s="469"/>
      <c r="E74" s="469"/>
      <c r="F74" s="469"/>
      <c r="G74" s="469"/>
      <c r="H74" s="469"/>
      <c r="I74" s="469"/>
      <c r="J74" s="469"/>
      <c r="K74" s="469"/>
      <c r="L74" s="469"/>
      <c r="M74" s="471"/>
      <c r="N74" s="2951"/>
      <c r="O74" s="2951"/>
      <c r="P74" s="2938"/>
      <c r="Q74" s="2938"/>
      <c r="R74" s="2858"/>
      <c r="S74" s="2858"/>
      <c r="T74" s="2858"/>
      <c r="U74" s="2858"/>
      <c r="V74" s="2858"/>
      <c r="W74" s="2858"/>
      <c r="X74" s="2858"/>
      <c r="Y74" s="2858"/>
      <c r="Z74" s="2858"/>
      <c r="AA74" s="2858"/>
      <c r="AB74" s="2858"/>
      <c r="AC74" s="2858"/>
    </row>
    <row r="75" spans="1:29">
      <c r="A75" s="484" t="s">
        <v>2349</v>
      </c>
      <c r="B75" s="485" t="s">
        <v>2315</v>
      </c>
      <c r="C75" s="487"/>
      <c r="D75" s="487"/>
      <c r="E75" s="487"/>
      <c r="F75" s="487"/>
      <c r="G75" s="487"/>
      <c r="H75" s="487"/>
      <c r="I75" s="487"/>
      <c r="J75" s="487"/>
      <c r="K75" s="488"/>
      <c r="L75" s="489"/>
      <c r="M75" s="490"/>
      <c r="N75" s="2952"/>
      <c r="O75" s="2952"/>
      <c r="P75" s="2977"/>
      <c r="Q75" s="2938"/>
      <c r="R75" s="2924"/>
      <c r="S75" s="2924"/>
      <c r="T75" s="2924"/>
      <c r="U75" s="2924"/>
      <c r="V75" s="2924"/>
      <c r="W75" s="2924"/>
      <c r="X75" s="2924"/>
      <c r="Y75" s="2924"/>
      <c r="Z75" s="2924"/>
      <c r="AA75" s="2924"/>
      <c r="AB75" s="2924"/>
      <c r="AC75" s="2924"/>
    </row>
    <row r="76" spans="1:29" ht="15.75" thickBot="1">
      <c r="A76" s="491"/>
      <c r="B76" s="492"/>
      <c r="C76" s="493"/>
      <c r="D76" s="493"/>
      <c r="E76" s="493"/>
      <c r="F76" s="493"/>
      <c r="G76" s="493"/>
      <c r="H76" s="493"/>
      <c r="I76" s="493"/>
      <c r="J76" s="493"/>
      <c r="K76" s="493"/>
      <c r="L76" s="493"/>
      <c r="M76" s="494"/>
      <c r="N76" s="2953"/>
      <c r="O76" s="2953"/>
      <c r="P76" s="2977"/>
      <c r="Q76" s="2938"/>
      <c r="R76" s="2924"/>
      <c r="S76" s="2924"/>
      <c r="T76" s="2924"/>
      <c r="U76" s="2924"/>
      <c r="V76" s="2924"/>
      <c r="W76" s="2924"/>
      <c r="X76" s="2924"/>
      <c r="Y76" s="2924"/>
      <c r="Z76" s="2924"/>
      <c r="AA76" s="2924"/>
      <c r="AB76" s="2924"/>
      <c r="AC76" s="2924"/>
    </row>
    <row r="77" spans="1:29" ht="27.75" thickTop="1">
      <c r="A77" s="491"/>
      <c r="B77" s="495" t="s">
        <v>2318</v>
      </c>
      <c r="C77" s="496"/>
      <c r="D77" s="496"/>
      <c r="E77" s="496"/>
      <c r="F77" s="496"/>
      <c r="G77" s="496"/>
      <c r="H77" s="496"/>
      <c r="I77" s="496"/>
      <c r="J77" s="496"/>
      <c r="K77" s="497"/>
      <c r="L77" s="498"/>
      <c r="M77" s="499"/>
      <c r="N77" s="2952"/>
      <c r="O77" s="2952"/>
      <c r="P77" s="2977"/>
      <c r="Q77" s="2938"/>
      <c r="R77" s="2924"/>
      <c r="S77" s="2924"/>
      <c r="T77" s="2924"/>
      <c r="U77" s="2924"/>
      <c r="V77" s="2924"/>
      <c r="W77" s="2924"/>
      <c r="X77" s="2924"/>
      <c r="Y77" s="2924"/>
      <c r="Z77" s="2924"/>
      <c r="AA77" s="2924"/>
      <c r="AB77" s="2924"/>
      <c r="AC77" s="2924"/>
    </row>
    <row r="78" spans="1:29" ht="15.75" thickBot="1">
      <c r="A78" s="491"/>
      <c r="B78" s="500"/>
      <c r="C78" s="501"/>
      <c r="D78" s="501"/>
      <c r="E78" s="501"/>
      <c r="F78" s="501"/>
      <c r="G78" s="501"/>
      <c r="H78" s="501"/>
      <c r="I78" s="501"/>
      <c r="J78" s="501"/>
      <c r="K78" s="501"/>
      <c r="L78" s="501"/>
      <c r="M78" s="502"/>
      <c r="N78" s="2953"/>
      <c r="O78" s="2953"/>
      <c r="P78" s="2977"/>
      <c r="Q78" s="2938"/>
      <c r="R78" s="2924"/>
      <c r="S78" s="2924"/>
      <c r="T78" s="2924"/>
      <c r="U78" s="2924"/>
      <c r="V78" s="2924"/>
      <c r="W78" s="2924"/>
      <c r="X78" s="2924"/>
      <c r="Y78" s="2924"/>
      <c r="Z78" s="2924"/>
      <c r="AA78" s="2924"/>
      <c r="AB78" s="2924"/>
      <c r="AC78" s="2924"/>
    </row>
    <row r="79" spans="1:29" ht="15.75" thickTop="1">
      <c r="A79" s="491"/>
      <c r="B79" s="503" t="s">
        <v>2319</v>
      </c>
      <c r="C79" s="504" t="str">
        <f>C80&amp;"（含）"&amp;"-"&amp;D80</f>
        <v>0（含）-1</v>
      </c>
      <c r="D79" s="504" t="str">
        <f t="shared" ref="D79:L79" si="20">D80&amp;"（含）"&amp;"-"&amp;E80</f>
        <v>1（含）-2</v>
      </c>
      <c r="E79" s="504" t="str">
        <f t="shared" si="20"/>
        <v>2（含）-3</v>
      </c>
      <c r="F79" s="504" t="str">
        <f t="shared" si="20"/>
        <v>3（含）-4</v>
      </c>
      <c r="G79" s="504" t="str">
        <f t="shared" si="20"/>
        <v>4（含）-</v>
      </c>
      <c r="H79" s="504" t="str">
        <f t="shared" si="20"/>
        <v>（含）-</v>
      </c>
      <c r="I79" s="504" t="str">
        <f t="shared" si="20"/>
        <v>（含）-</v>
      </c>
      <c r="J79" s="504" t="str">
        <f t="shared" si="20"/>
        <v>（含）-</v>
      </c>
      <c r="K79" s="504" t="str">
        <f t="shared" si="20"/>
        <v>（含）-</v>
      </c>
      <c r="L79" s="504" t="str">
        <f t="shared" si="20"/>
        <v>（含）-</v>
      </c>
      <c r="M79" s="407" t="str">
        <f>M80&amp;"（含）"&amp;"-"&amp;P80</f>
        <v>（含）-</v>
      </c>
      <c r="N79" s="2953"/>
      <c r="O79" s="2953"/>
      <c r="P79" s="2977"/>
      <c r="Q79" s="2938"/>
      <c r="R79" s="2924"/>
      <c r="S79" s="2924"/>
      <c r="T79" s="2924"/>
      <c r="U79" s="2924"/>
      <c r="V79" s="2924"/>
      <c r="W79" s="2924"/>
      <c r="X79" s="2924"/>
      <c r="Y79" s="2924"/>
      <c r="Z79" s="2924"/>
      <c r="AA79" s="2924"/>
      <c r="AB79" s="2924"/>
      <c r="AC79" s="2924"/>
    </row>
    <row r="80" spans="1:29" ht="15">
      <c r="A80" s="491"/>
      <c r="B80" s="505"/>
      <c r="C80" s="506">
        <v>0</v>
      </c>
      <c r="D80" s="506">
        <v>1</v>
      </c>
      <c r="E80" s="506">
        <v>2</v>
      </c>
      <c r="F80" s="506">
        <v>3</v>
      </c>
      <c r="G80" s="506">
        <v>4</v>
      </c>
      <c r="H80" s="506"/>
      <c r="I80" s="506"/>
      <c r="J80" s="506"/>
      <c r="K80" s="507"/>
      <c r="L80" s="508"/>
      <c r="M80" s="509"/>
      <c r="N80" s="2952"/>
      <c r="O80" s="2952"/>
      <c r="P80" s="2977"/>
      <c r="Q80" s="2938"/>
      <c r="R80" s="2924"/>
      <c r="S80" s="2924"/>
      <c r="T80" s="2924"/>
      <c r="U80" s="2924"/>
      <c r="V80" s="2924"/>
      <c r="W80" s="2924"/>
      <c r="X80" s="2924"/>
      <c r="Y80" s="2924"/>
      <c r="Z80" s="2924"/>
      <c r="AA80" s="2924"/>
      <c r="AB80" s="2924"/>
      <c r="AC80" s="2924"/>
    </row>
    <row r="81" spans="1:29" ht="15.75" thickBot="1">
      <c r="A81" s="491"/>
      <c r="B81" s="492"/>
      <c r="C81" s="501">
        <v>100</v>
      </c>
      <c r="D81" s="501">
        <f t="shared" ref="D81:M81" si="21">IF($B$46="单位面积地价",C81+$K11,C81-$K11)</f>
        <v>98</v>
      </c>
      <c r="E81" s="501">
        <f t="shared" si="21"/>
        <v>96</v>
      </c>
      <c r="F81" s="501">
        <f t="shared" si="21"/>
        <v>94</v>
      </c>
      <c r="G81" s="501">
        <f t="shared" si="21"/>
        <v>92</v>
      </c>
      <c r="H81" s="501">
        <f t="shared" si="21"/>
        <v>90</v>
      </c>
      <c r="I81" s="501">
        <f t="shared" si="21"/>
        <v>88</v>
      </c>
      <c r="J81" s="501">
        <f t="shared" si="21"/>
        <v>86</v>
      </c>
      <c r="K81" s="501">
        <f t="shared" si="21"/>
        <v>84</v>
      </c>
      <c r="L81" s="501">
        <f t="shared" si="21"/>
        <v>82</v>
      </c>
      <c r="M81" s="501">
        <f t="shared" si="21"/>
        <v>80</v>
      </c>
      <c r="N81" s="2953"/>
      <c r="O81" s="2953"/>
      <c r="P81" s="2977"/>
      <c r="Q81" s="2938"/>
      <c r="R81" s="2924"/>
      <c r="S81" s="2924"/>
      <c r="T81" s="2924"/>
      <c r="U81" s="2924"/>
      <c r="V81" s="2924"/>
      <c r="W81" s="2924"/>
      <c r="X81" s="2924"/>
      <c r="Y81" s="2924"/>
      <c r="Z81" s="2924"/>
      <c r="AA81" s="2924"/>
      <c r="AB81" s="2924"/>
      <c r="AC81" s="2924"/>
    </row>
    <row r="82" spans="1:29" s="430" customFormat="1" ht="15.75" thickTop="1">
      <c r="A82" s="510"/>
      <c r="B82" s="495" t="str">
        <f>B12</f>
        <v>配建</v>
      </c>
      <c r="C82" s="511"/>
      <c r="D82" s="511"/>
      <c r="E82" s="511"/>
      <c r="F82" s="511"/>
      <c r="G82" s="511"/>
      <c r="H82" s="512"/>
      <c r="I82" s="512"/>
      <c r="J82" s="512"/>
      <c r="K82" s="512"/>
      <c r="L82" s="513"/>
      <c r="M82" s="514"/>
      <c r="N82" s="2954"/>
      <c r="O82" s="2954"/>
      <c r="P82" s="2978"/>
      <c r="Q82" s="2945"/>
      <c r="R82" s="2946"/>
      <c r="S82" s="2946"/>
      <c r="T82" s="2946"/>
      <c r="U82" s="2946"/>
      <c r="V82" s="2946"/>
      <c r="W82" s="2946"/>
      <c r="X82" s="2946"/>
      <c r="Y82" s="2946"/>
      <c r="Z82" s="2946"/>
      <c r="AA82" s="2946"/>
      <c r="AB82" s="2946"/>
      <c r="AC82" s="2946"/>
    </row>
    <row r="83" spans="1:29" s="430" customFormat="1" ht="15.75" thickBot="1">
      <c r="A83" s="510"/>
      <c r="B83" s="500"/>
      <c r="C83" s="517"/>
      <c r="D83" s="493"/>
      <c r="E83" s="493"/>
      <c r="F83" s="493"/>
      <c r="G83" s="493"/>
      <c r="H83" s="493"/>
      <c r="I83" s="493"/>
      <c r="J83" s="493"/>
      <c r="K83" s="493"/>
      <c r="L83" s="493"/>
      <c r="M83" s="494"/>
      <c r="N83" s="2953"/>
      <c r="O83" s="2953"/>
      <c r="P83" s="2978"/>
      <c r="Q83" s="2945"/>
      <c r="R83" s="2946"/>
      <c r="S83" s="2946"/>
      <c r="T83" s="2946"/>
      <c r="U83" s="2946"/>
      <c r="V83" s="2946"/>
      <c r="W83" s="2946"/>
      <c r="X83" s="2946"/>
      <c r="Y83" s="2946"/>
      <c r="Z83" s="2946"/>
      <c r="AA83" s="2946"/>
      <c r="AB83" s="2946"/>
      <c r="AC83" s="2946"/>
    </row>
    <row r="84" spans="1:29" s="430" customFormat="1" ht="15.75" thickTop="1">
      <c r="A84" s="510"/>
      <c r="B84" s="495">
        <f>B13</f>
        <v>111</v>
      </c>
      <c r="C84" s="511"/>
      <c r="D84" s="511"/>
      <c r="E84" s="511"/>
      <c r="F84" s="511"/>
      <c r="G84" s="511"/>
      <c r="H84" s="512"/>
      <c r="I84" s="512"/>
      <c r="J84" s="512"/>
      <c r="K84" s="512"/>
      <c r="L84" s="513"/>
      <c r="M84" s="514"/>
      <c r="N84" s="2954"/>
      <c r="O84" s="2954"/>
      <c r="P84" s="2922"/>
      <c r="Q84" s="2948"/>
      <c r="R84" s="2946"/>
      <c r="S84" s="2946"/>
      <c r="T84" s="2946"/>
      <c r="U84" s="2946"/>
      <c r="V84" s="2946"/>
      <c r="W84" s="2946"/>
      <c r="X84" s="2946"/>
      <c r="Y84" s="2946"/>
      <c r="Z84" s="2946"/>
      <c r="AA84" s="2946"/>
      <c r="AB84" s="2946"/>
      <c r="AC84" s="2946"/>
    </row>
    <row r="85" spans="1:29" s="430" customFormat="1" ht="15.75" thickBot="1">
      <c r="A85" s="510"/>
      <c r="B85" s="500"/>
      <c r="C85" s="517"/>
      <c r="D85" s="517"/>
      <c r="E85" s="517"/>
      <c r="F85" s="517"/>
      <c r="G85" s="517"/>
      <c r="H85" s="519"/>
      <c r="I85" s="519"/>
      <c r="J85" s="519"/>
      <c r="K85" s="519"/>
      <c r="L85" s="519"/>
      <c r="M85" s="520"/>
      <c r="N85" s="2954"/>
      <c r="O85" s="2954"/>
      <c r="P85" s="2978"/>
      <c r="Q85" s="2945"/>
      <c r="R85" s="2946"/>
      <c r="S85" s="2946"/>
      <c r="T85" s="2946"/>
      <c r="U85" s="2946"/>
      <c r="V85" s="2946"/>
      <c r="W85" s="2946"/>
      <c r="X85" s="2946"/>
      <c r="Y85" s="2946"/>
      <c r="Z85" s="2946"/>
      <c r="AA85" s="2946"/>
      <c r="AB85" s="2946"/>
      <c r="AC85" s="2946"/>
    </row>
    <row r="86" spans="1:29" s="430" customFormat="1" ht="15.75" thickTop="1">
      <c r="A86" s="510"/>
      <c r="B86" s="503">
        <f>B14</f>
        <v>111</v>
      </c>
      <c r="C86" s="480"/>
      <c r="D86" s="480"/>
      <c r="E86" s="480"/>
      <c r="F86" s="480"/>
      <c r="G86" s="480"/>
      <c r="H86" s="521"/>
      <c r="I86" s="521"/>
      <c r="J86" s="521"/>
      <c r="K86" s="521"/>
      <c r="L86" s="522"/>
      <c r="M86" s="523"/>
      <c r="N86" s="2954"/>
      <c r="O86" s="2954"/>
      <c r="P86" s="2983"/>
      <c r="Q86" s="2945"/>
      <c r="R86" s="2946"/>
      <c r="S86" s="2946"/>
      <c r="T86" s="2946"/>
      <c r="U86" s="2946"/>
      <c r="V86" s="2946"/>
      <c r="W86" s="2946"/>
      <c r="X86" s="2946"/>
      <c r="Y86" s="2946"/>
      <c r="Z86" s="2946"/>
      <c r="AA86" s="2946"/>
      <c r="AB86" s="2946"/>
      <c r="AC86" s="2946"/>
    </row>
    <row r="87" spans="1:29" s="430" customFormat="1" ht="15.75" thickBot="1">
      <c r="A87" s="525"/>
      <c r="B87" s="526"/>
      <c r="C87" s="527"/>
      <c r="D87" s="527"/>
      <c r="E87" s="527"/>
      <c r="F87" s="527"/>
      <c r="G87" s="527"/>
      <c r="H87" s="528"/>
      <c r="I87" s="528"/>
      <c r="J87" s="528"/>
      <c r="K87" s="528"/>
      <c r="L87" s="528"/>
      <c r="M87" s="529"/>
      <c r="N87" s="2954"/>
      <c r="O87" s="2954"/>
      <c r="P87" s="2978"/>
      <c r="Q87" s="2945"/>
      <c r="R87" s="2946"/>
      <c r="S87" s="2946"/>
      <c r="T87" s="2946"/>
      <c r="U87" s="2946"/>
      <c r="V87" s="2946"/>
      <c r="W87" s="2946"/>
      <c r="X87" s="2946"/>
      <c r="Y87" s="2946"/>
      <c r="Z87" s="2946"/>
      <c r="AA87" s="2946"/>
      <c r="AB87" s="2946"/>
      <c r="AC87" s="2946"/>
    </row>
    <row r="88" spans="1:29">
      <c r="A88" s="484" t="s">
        <v>2320</v>
      </c>
      <c r="B88" s="485" t="s">
        <v>2357</v>
      </c>
      <c r="C88" s="530" t="s">
        <v>2358</v>
      </c>
      <c r="D88" s="530" t="s">
        <v>2359</v>
      </c>
      <c r="E88" s="530" t="s">
        <v>2360</v>
      </c>
      <c r="F88" s="530" t="s">
        <v>2361</v>
      </c>
      <c r="G88" s="530" t="s">
        <v>2362</v>
      </c>
      <c r="H88" s="486"/>
      <c r="I88" s="486"/>
      <c r="J88" s="486"/>
      <c r="K88" s="531"/>
      <c r="L88" s="532"/>
      <c r="M88" s="533"/>
      <c r="N88" s="2952"/>
      <c r="O88" s="2952"/>
      <c r="P88" s="2979"/>
      <c r="Q88" s="2938"/>
      <c r="R88" s="2924"/>
      <c r="S88" s="2924"/>
      <c r="T88" s="2924"/>
      <c r="U88" s="2924"/>
      <c r="V88" s="2924"/>
      <c r="W88" s="2924"/>
      <c r="X88" s="2924"/>
      <c r="Y88" s="2924"/>
      <c r="Z88" s="2924"/>
      <c r="AA88" s="2924"/>
      <c r="AB88" s="2924"/>
      <c r="AC88" s="2924"/>
    </row>
    <row r="89" spans="1:29" ht="15.75" thickBot="1">
      <c r="A89" s="491"/>
      <c r="B89" s="500"/>
      <c r="C89" s="501">
        <v>100</v>
      </c>
      <c r="D89" s="501">
        <f>C89-$K15</f>
        <v>98</v>
      </c>
      <c r="E89" s="501">
        <f>D89-$K15</f>
        <v>96</v>
      </c>
      <c r="F89" s="501">
        <f>E89-$K15</f>
        <v>94</v>
      </c>
      <c r="G89" s="501">
        <f>F89-$K15</f>
        <v>92</v>
      </c>
      <c r="H89" s="501"/>
      <c r="I89" s="501"/>
      <c r="J89" s="501"/>
      <c r="K89" s="501"/>
      <c r="L89" s="501"/>
      <c r="M89" s="502"/>
      <c r="N89" s="2953"/>
      <c r="O89" s="2953"/>
      <c r="P89" s="2977"/>
      <c r="Q89" s="2938"/>
      <c r="R89" s="2924"/>
      <c r="S89" s="2924"/>
      <c r="T89" s="2924"/>
      <c r="U89" s="2924"/>
      <c r="V89" s="2924"/>
      <c r="W89" s="2924"/>
      <c r="X89" s="2924"/>
      <c r="Y89" s="2924"/>
      <c r="Z89" s="2924"/>
      <c r="AA89" s="2924"/>
      <c r="AB89" s="2924"/>
      <c r="AC89" s="2924"/>
    </row>
    <row r="90" spans="1:29" ht="15.75" thickTop="1">
      <c r="A90" s="491"/>
      <c r="B90" s="495" t="s">
        <v>2545</v>
      </c>
      <c r="C90" s="535" t="s">
        <v>2358</v>
      </c>
      <c r="D90" s="535" t="s">
        <v>2359</v>
      </c>
      <c r="E90" s="535" t="s">
        <v>2360</v>
      </c>
      <c r="F90" s="535" t="s">
        <v>2361</v>
      </c>
      <c r="G90" s="535" t="s">
        <v>2362</v>
      </c>
      <c r="H90" s="496"/>
      <c r="I90" s="496"/>
      <c r="J90" s="496"/>
      <c r="K90" s="497"/>
      <c r="L90" s="498"/>
      <c r="M90" s="499"/>
      <c r="N90" s="2952"/>
      <c r="O90" s="2952"/>
      <c r="P90" s="2977"/>
      <c r="Q90" s="2938"/>
      <c r="R90" s="2924"/>
      <c r="S90" s="2924"/>
      <c r="T90" s="2924"/>
      <c r="U90" s="2924"/>
      <c r="V90" s="2924"/>
      <c r="W90" s="2924"/>
      <c r="X90" s="2924"/>
      <c r="Y90" s="2924"/>
      <c r="Z90" s="2924"/>
      <c r="AA90" s="2924"/>
      <c r="AB90" s="2924"/>
      <c r="AC90" s="2924"/>
    </row>
    <row r="91" spans="1:29" ht="15.75" thickBot="1">
      <c r="A91" s="491"/>
      <c r="B91" s="500"/>
      <c r="C91" s="501">
        <v>100</v>
      </c>
      <c r="D91" s="501">
        <f>C91-$K17</f>
        <v>98</v>
      </c>
      <c r="E91" s="501">
        <f>D91-$K17</f>
        <v>96</v>
      </c>
      <c r="F91" s="501">
        <f>E91-$K17</f>
        <v>94</v>
      </c>
      <c r="G91" s="501">
        <f>F91-$K17</f>
        <v>92</v>
      </c>
      <c r="H91" s="501"/>
      <c r="I91" s="501"/>
      <c r="J91" s="501"/>
      <c r="K91" s="501"/>
      <c r="L91" s="501"/>
      <c r="M91" s="502"/>
      <c r="N91" s="2953"/>
      <c r="O91" s="2953"/>
      <c r="P91" s="2977"/>
      <c r="Q91" s="2938"/>
      <c r="R91" s="2924"/>
      <c r="S91" s="2924"/>
      <c r="T91" s="2924"/>
      <c r="U91" s="2924"/>
      <c r="V91" s="2924"/>
      <c r="W91" s="2924"/>
      <c r="X91" s="2924"/>
      <c r="Y91" s="2924"/>
      <c r="Z91" s="2924"/>
      <c r="AA91" s="2924"/>
      <c r="AB91" s="2924"/>
      <c r="AC91" s="2924"/>
    </row>
    <row r="92" spans="1:29" ht="15.75" thickTop="1">
      <c r="A92" s="491"/>
      <c r="B92" s="495" t="s">
        <v>2458</v>
      </c>
      <c r="C92" s="535" t="s">
        <v>2358</v>
      </c>
      <c r="D92" s="535" t="s">
        <v>2359</v>
      </c>
      <c r="E92" s="535" t="s">
        <v>2360</v>
      </c>
      <c r="F92" s="535" t="s">
        <v>2361</v>
      </c>
      <c r="G92" s="535" t="s">
        <v>2362</v>
      </c>
      <c r="H92" s="496"/>
      <c r="I92" s="496"/>
      <c r="J92" s="496"/>
      <c r="K92" s="497"/>
      <c r="L92" s="498"/>
      <c r="M92" s="499"/>
      <c r="N92" s="2952"/>
      <c r="O92" s="2952"/>
      <c r="P92" s="2977"/>
      <c r="Q92" s="2938"/>
      <c r="R92" s="2924"/>
      <c r="S92" s="2924"/>
      <c r="T92" s="2924"/>
      <c r="U92" s="2924"/>
      <c r="V92" s="2924"/>
      <c r="W92" s="2924"/>
      <c r="X92" s="2924"/>
      <c r="Y92" s="2924"/>
      <c r="Z92" s="2924"/>
      <c r="AA92" s="2924"/>
      <c r="AB92" s="2924"/>
      <c r="AC92" s="2924"/>
    </row>
    <row r="93" spans="1:29" ht="15.75" thickBot="1">
      <c r="A93" s="491"/>
      <c r="B93" s="500"/>
      <c r="C93" s="501">
        <v>100</v>
      </c>
      <c r="D93" s="501">
        <f>C93-$K19</f>
        <v>98</v>
      </c>
      <c r="E93" s="501">
        <f>D93-$K19</f>
        <v>96</v>
      </c>
      <c r="F93" s="501">
        <f>E93-$K19</f>
        <v>94</v>
      </c>
      <c r="G93" s="501">
        <f>F93-$K19</f>
        <v>92</v>
      </c>
      <c r="H93" s="501"/>
      <c r="I93" s="501"/>
      <c r="J93" s="501"/>
      <c r="K93" s="501"/>
      <c r="L93" s="501"/>
      <c r="M93" s="502"/>
      <c r="N93" s="2953"/>
      <c r="O93" s="2953"/>
      <c r="P93" s="2977"/>
      <c r="Q93" s="2938"/>
      <c r="R93" s="2924"/>
      <c r="S93" s="2924"/>
      <c r="T93" s="2924"/>
      <c r="U93" s="2924"/>
      <c r="V93" s="2924"/>
      <c r="W93" s="2924"/>
      <c r="X93" s="2924"/>
      <c r="Y93" s="2924"/>
      <c r="Z93" s="2924"/>
      <c r="AA93" s="2924"/>
      <c r="AB93" s="2924"/>
      <c r="AC93" s="2924"/>
    </row>
    <row r="94" spans="1:29" ht="15.75" thickTop="1">
      <c r="A94" s="491"/>
      <c r="B94" s="495" t="s">
        <v>2363</v>
      </c>
      <c r="C94" s="535" t="s">
        <v>2358</v>
      </c>
      <c r="D94" s="535" t="s">
        <v>2359</v>
      </c>
      <c r="E94" s="535" t="s">
        <v>2360</v>
      </c>
      <c r="F94" s="535" t="s">
        <v>2361</v>
      </c>
      <c r="G94" s="535" t="s">
        <v>2362</v>
      </c>
      <c r="H94" s="496"/>
      <c r="I94" s="496"/>
      <c r="J94" s="496"/>
      <c r="K94" s="497"/>
      <c r="L94" s="498"/>
      <c r="M94" s="499"/>
      <c r="N94" s="2952"/>
      <c r="O94" s="2952"/>
      <c r="P94" s="2977"/>
      <c r="Q94" s="2938"/>
      <c r="R94" s="2924"/>
      <c r="S94" s="2924"/>
      <c r="T94" s="2924"/>
      <c r="U94" s="2924"/>
      <c r="V94" s="2924"/>
      <c r="W94" s="2924"/>
      <c r="X94" s="2924"/>
      <c r="Y94" s="2924"/>
      <c r="Z94" s="2924"/>
      <c r="AA94" s="2924"/>
      <c r="AB94" s="2924"/>
      <c r="AC94" s="2924"/>
    </row>
    <row r="95" spans="1:29" ht="15.75" thickBot="1">
      <c r="A95" s="491"/>
      <c r="B95" s="500"/>
      <c r="C95" s="501">
        <v>100</v>
      </c>
      <c r="D95" s="501">
        <f>C95-$K21</f>
        <v>98</v>
      </c>
      <c r="E95" s="501">
        <f>D95-$K21</f>
        <v>96</v>
      </c>
      <c r="F95" s="501">
        <f>E95-$K21</f>
        <v>94</v>
      </c>
      <c r="G95" s="501">
        <f>F95-$K21</f>
        <v>92</v>
      </c>
      <c r="H95" s="501"/>
      <c r="I95" s="501"/>
      <c r="J95" s="501"/>
      <c r="K95" s="501"/>
      <c r="L95" s="501"/>
      <c r="M95" s="502"/>
      <c r="N95" s="2953"/>
      <c r="O95" s="2953"/>
      <c r="P95" s="2977"/>
      <c r="Q95" s="2938"/>
      <c r="R95" s="2924"/>
      <c r="S95" s="2924"/>
      <c r="T95" s="2924"/>
      <c r="U95" s="2924"/>
      <c r="V95" s="2924"/>
      <c r="W95" s="2924"/>
      <c r="X95" s="2924"/>
      <c r="Y95" s="2924"/>
      <c r="Z95" s="2924"/>
      <c r="AA95" s="2924"/>
      <c r="AB95" s="2924"/>
      <c r="AC95" s="2924"/>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51"/>
      <c r="O96" s="2951"/>
      <c r="P96" s="2977"/>
      <c r="Q96" s="2938"/>
      <c r="R96" s="2858"/>
      <c r="S96" s="2858"/>
      <c r="T96" s="2858"/>
      <c r="U96" s="2858"/>
      <c r="V96" s="2858"/>
      <c r="W96" s="2858"/>
      <c r="X96" s="2858"/>
      <c r="Y96" s="2858"/>
      <c r="Z96" s="2858"/>
      <c r="AA96" s="2858"/>
      <c r="AB96" s="2858"/>
      <c r="AC96" s="2858"/>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53"/>
      <c r="O97" s="2953"/>
      <c r="P97" s="2977"/>
      <c r="Q97" s="2938"/>
      <c r="R97" s="2858"/>
      <c r="S97" s="2858"/>
      <c r="T97" s="2858"/>
      <c r="U97" s="2858"/>
      <c r="V97" s="2858"/>
      <c r="W97" s="2858"/>
      <c r="X97" s="2858"/>
      <c r="Y97" s="2858"/>
      <c r="Z97" s="2858"/>
      <c r="AA97" s="2858"/>
      <c r="AB97" s="2858"/>
      <c r="AC97" s="2858"/>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51"/>
      <c r="O98" s="2951"/>
      <c r="P98" s="2977"/>
      <c r="Q98" s="2938"/>
      <c r="R98" s="2858"/>
      <c r="S98" s="2858"/>
      <c r="T98" s="2858"/>
      <c r="U98" s="2858"/>
      <c r="V98" s="2858"/>
      <c r="W98" s="2858"/>
      <c r="X98" s="2858"/>
      <c r="Y98" s="2858"/>
      <c r="Z98" s="2858"/>
      <c r="AA98" s="2858"/>
      <c r="AB98" s="2858"/>
      <c r="AC98" s="2858"/>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53"/>
      <c r="O99" s="2953"/>
      <c r="P99" s="2977"/>
      <c r="Q99" s="2938"/>
      <c r="R99" s="2858"/>
      <c r="S99" s="2858"/>
      <c r="T99" s="2858"/>
      <c r="U99" s="2858"/>
      <c r="V99" s="2858"/>
      <c r="W99" s="2858"/>
      <c r="X99" s="2858"/>
      <c r="Y99" s="2858"/>
      <c r="Z99" s="2858"/>
      <c r="AA99" s="2858"/>
      <c r="AB99" s="2858"/>
      <c r="AC99" s="2858"/>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4"/>
      <c r="O100" s="2954"/>
      <c r="P100" s="2978"/>
      <c r="Q100" s="2945"/>
      <c r="R100" s="2946"/>
      <c r="S100" s="2946"/>
      <c r="T100" s="2946"/>
      <c r="U100" s="2946"/>
      <c r="V100" s="2946"/>
      <c r="W100" s="2946"/>
      <c r="X100" s="2946"/>
      <c r="Y100" s="2946"/>
      <c r="Z100" s="2946"/>
      <c r="AA100" s="2946"/>
      <c r="AB100" s="2946"/>
      <c r="AC100" s="2946"/>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54"/>
      <c r="O101" s="2954"/>
      <c r="P101" s="2978"/>
      <c r="Q101" s="2945"/>
      <c r="R101" s="2946"/>
      <c r="S101" s="2946"/>
      <c r="T101" s="2946"/>
      <c r="U101" s="2946"/>
      <c r="V101" s="2946"/>
      <c r="W101" s="2946"/>
      <c r="X101" s="2946"/>
      <c r="Y101" s="2946"/>
      <c r="Z101" s="2946"/>
      <c r="AA101" s="2946"/>
      <c r="AB101" s="2946"/>
      <c r="AC101" s="2946"/>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4"/>
      <c r="O102" s="2954"/>
      <c r="P102" s="2978"/>
      <c r="Q102" s="2945"/>
      <c r="R102" s="2946"/>
      <c r="S102" s="2946"/>
      <c r="T102" s="2946"/>
      <c r="U102" s="2946"/>
      <c r="V102" s="2946"/>
      <c r="W102" s="2946"/>
      <c r="X102" s="2946"/>
      <c r="Y102" s="2946"/>
      <c r="Z102" s="2946"/>
      <c r="AA102" s="2946"/>
      <c r="AB102" s="2946"/>
      <c r="AC102" s="2946"/>
    </row>
    <row r="103" spans="1:29" s="430" customFormat="1" ht="15.75" thickBot="1">
      <c r="A103" s="510"/>
      <c r="B103" s="503"/>
      <c r="C103" s="501">
        <v>100</v>
      </c>
      <c r="D103" s="501">
        <f>C103-$K29</f>
        <v>98</v>
      </c>
      <c r="E103" s="501">
        <f>D103-$K29</f>
        <v>96</v>
      </c>
      <c r="F103" s="501">
        <f>E103-$K29</f>
        <v>94</v>
      </c>
      <c r="G103" s="501">
        <f>F103-$K29</f>
        <v>92</v>
      </c>
      <c r="H103" s="505"/>
      <c r="I103" s="505"/>
      <c r="J103" s="505"/>
      <c r="K103" s="505"/>
      <c r="L103" s="505"/>
      <c r="M103" s="1266"/>
      <c r="N103" s="2954"/>
      <c r="O103" s="2954"/>
      <c r="P103" s="2978"/>
      <c r="Q103" s="2945"/>
      <c r="R103" s="2946"/>
      <c r="S103" s="2946"/>
      <c r="T103" s="2946"/>
      <c r="U103" s="2946"/>
      <c r="V103" s="2946"/>
      <c r="W103" s="2946"/>
      <c r="X103" s="2946"/>
      <c r="Y103" s="2946"/>
      <c r="Z103" s="2946"/>
      <c r="AA103" s="2946"/>
      <c r="AB103" s="2946"/>
      <c r="AC103" s="2946"/>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2"/>
      <c r="O104" s="2952"/>
      <c r="P104" s="2977"/>
      <c r="Q104" s="2938"/>
      <c r="R104" s="2924"/>
      <c r="S104" s="2924"/>
      <c r="T104" s="2924"/>
      <c r="U104" s="2924"/>
      <c r="V104" s="2924"/>
      <c r="W104" s="2924"/>
      <c r="X104" s="2924"/>
      <c r="Y104" s="2924"/>
      <c r="Z104" s="2924"/>
      <c r="AA104" s="2924"/>
      <c r="AB104" s="2924"/>
      <c r="AC104" s="2924"/>
    </row>
    <row r="105" spans="1:29" ht="15.75" thickBot="1">
      <c r="A105" s="491"/>
      <c r="B105" s="500"/>
      <c r="C105" s="501">
        <v>100</v>
      </c>
      <c r="D105" s="501">
        <f>C105-$K31</f>
        <v>98</v>
      </c>
      <c r="E105" s="501">
        <f t="shared" ref="E105:M105" si="22">D105-$K31</f>
        <v>96</v>
      </c>
      <c r="F105" s="501">
        <f t="shared" si="22"/>
        <v>94</v>
      </c>
      <c r="G105" s="501">
        <f t="shared" si="22"/>
        <v>92</v>
      </c>
      <c r="H105" s="501">
        <f t="shared" si="22"/>
        <v>90</v>
      </c>
      <c r="I105" s="501">
        <f t="shared" si="22"/>
        <v>88</v>
      </c>
      <c r="J105" s="501">
        <f t="shared" si="22"/>
        <v>86</v>
      </c>
      <c r="K105" s="501">
        <f t="shared" si="22"/>
        <v>84</v>
      </c>
      <c r="L105" s="501">
        <f t="shared" si="22"/>
        <v>82</v>
      </c>
      <c r="M105" s="501">
        <f t="shared" si="22"/>
        <v>80</v>
      </c>
      <c r="N105" s="2953"/>
      <c r="O105" s="2953"/>
      <c r="P105" s="2977"/>
      <c r="Q105" s="2938"/>
      <c r="R105" s="2924"/>
      <c r="S105" s="2924"/>
      <c r="T105" s="2924"/>
      <c r="U105" s="2924"/>
      <c r="V105" s="2924"/>
      <c r="W105" s="2924"/>
      <c r="X105" s="2924"/>
      <c r="Y105" s="2924"/>
      <c r="Z105" s="2924"/>
      <c r="AA105" s="2924"/>
      <c r="AB105" s="2924"/>
      <c r="AC105" s="2924"/>
    </row>
    <row r="106" spans="1:29" ht="27.75" thickTop="1">
      <c r="A106" s="491"/>
      <c r="B106" s="495" t="s">
        <v>2452</v>
      </c>
      <c r="C106" s="511"/>
      <c r="D106" s="511"/>
      <c r="E106" s="511"/>
      <c r="F106" s="511"/>
      <c r="G106" s="511"/>
      <c r="H106" s="540"/>
      <c r="I106" s="540"/>
      <c r="J106" s="540"/>
      <c r="K106" s="541"/>
      <c r="L106" s="542"/>
      <c r="M106" s="543"/>
      <c r="N106" s="2952"/>
      <c r="O106" s="2952"/>
      <c r="P106" s="2977"/>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3"/>
      <c r="O107" s="2953"/>
      <c r="P107" s="2977"/>
      <c r="Q107" s="2938"/>
      <c r="R107" s="2924"/>
      <c r="S107" s="2924"/>
      <c r="T107" s="2924"/>
      <c r="U107" s="2924"/>
      <c r="V107" s="2924"/>
      <c r="W107" s="2924"/>
      <c r="X107" s="2924"/>
      <c r="Y107" s="2924"/>
      <c r="Z107" s="2924"/>
      <c r="AA107" s="2924"/>
      <c r="AB107" s="2924"/>
      <c r="AC107" s="2924"/>
    </row>
    <row r="108" spans="1:29" ht="15.75" thickTop="1">
      <c r="A108" s="491"/>
      <c r="B108" s="495" t="s">
        <v>2511</v>
      </c>
      <c r="C108" s="540"/>
      <c r="D108" s="540"/>
      <c r="E108" s="540"/>
      <c r="F108" s="540"/>
      <c r="G108" s="540"/>
      <c r="H108" s="540"/>
      <c r="I108" s="540"/>
      <c r="J108" s="540"/>
      <c r="K108" s="541"/>
      <c r="L108" s="542"/>
      <c r="M108" s="543"/>
      <c r="N108" s="2952"/>
      <c r="O108" s="2952"/>
      <c r="P108" s="2977"/>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3"/>
      <c r="O109" s="2953"/>
      <c r="P109" s="2977"/>
      <c r="Q109" s="2938"/>
      <c r="R109" s="2924"/>
      <c r="S109" s="2924"/>
      <c r="T109" s="2924"/>
      <c r="U109" s="2924"/>
      <c r="V109" s="2924"/>
      <c r="W109" s="2924"/>
      <c r="X109" s="2924"/>
      <c r="Y109" s="2924"/>
      <c r="Z109" s="2924"/>
      <c r="AA109" s="2924"/>
      <c r="AB109" s="2924"/>
      <c r="AC109" s="2924"/>
    </row>
    <row r="110" spans="1:29" ht="15.75" thickTop="1">
      <c r="A110" s="491"/>
      <c r="B110" s="503">
        <f>B35</f>
        <v>111</v>
      </c>
      <c r="C110" s="511"/>
      <c r="D110" s="511"/>
      <c r="E110" s="511"/>
      <c r="F110" s="511"/>
      <c r="G110" s="544"/>
      <c r="H110" s="544"/>
      <c r="I110" s="544"/>
      <c r="J110" s="544"/>
      <c r="K110" s="545"/>
      <c r="L110" s="546"/>
      <c r="M110" s="547"/>
      <c r="N110" s="2952"/>
      <c r="O110" s="2952"/>
      <c r="P110" s="2977"/>
      <c r="Q110" s="2938"/>
      <c r="R110" s="2924"/>
      <c r="S110" s="2924"/>
      <c r="T110" s="2924"/>
      <c r="U110" s="2924"/>
      <c r="V110" s="2924"/>
      <c r="W110" s="2924"/>
      <c r="X110" s="2924"/>
      <c r="Y110" s="2924"/>
      <c r="Z110" s="2924"/>
      <c r="AA110" s="2924"/>
      <c r="AB110" s="2924"/>
      <c r="AC110" s="2924"/>
    </row>
    <row r="111" spans="1:29" ht="15.75" thickBot="1">
      <c r="A111" s="491"/>
      <c r="B111" s="526"/>
      <c r="C111" s="517"/>
      <c r="D111" s="517"/>
      <c r="E111" s="517"/>
      <c r="F111" s="517"/>
      <c r="G111" s="548"/>
      <c r="H111" s="548"/>
      <c r="I111" s="548"/>
      <c r="J111" s="548"/>
      <c r="K111" s="548"/>
      <c r="L111" s="548"/>
      <c r="M111" s="549"/>
      <c r="N111" s="2953"/>
      <c r="O111" s="2953"/>
      <c r="P111" s="2977"/>
      <c r="Q111" s="2938"/>
      <c r="R111" s="2924"/>
      <c r="S111" s="2924"/>
      <c r="T111" s="2924"/>
      <c r="U111" s="2924"/>
      <c r="V111" s="2924"/>
      <c r="W111" s="2924"/>
      <c r="X111" s="2924"/>
      <c r="Y111" s="2924"/>
      <c r="Z111" s="2924"/>
      <c r="AA111" s="2924"/>
      <c r="AB111" s="2924"/>
      <c r="AC111" s="2924"/>
    </row>
    <row r="112" spans="1:29" ht="15" thickTop="1">
      <c r="A112" s="631"/>
      <c r="B112" s="495">
        <f>B36</f>
        <v>111</v>
      </c>
      <c r="C112" s="480"/>
      <c r="D112" s="480"/>
      <c r="E112" s="480"/>
      <c r="F112" s="480"/>
      <c r="G112" s="540"/>
      <c r="H112" s="540"/>
      <c r="I112" s="540"/>
      <c r="J112" s="540"/>
      <c r="K112" s="541"/>
      <c r="L112" s="542"/>
      <c r="M112" s="543"/>
      <c r="N112" s="2952"/>
      <c r="O112" s="2952"/>
      <c r="P112" s="2977"/>
      <c r="Q112" s="2938"/>
      <c r="R112" s="2924"/>
      <c r="S112" s="2924"/>
      <c r="T112" s="2924"/>
      <c r="U112" s="2924"/>
      <c r="V112" s="2924"/>
      <c r="W112" s="2924"/>
      <c r="X112" s="2924"/>
      <c r="Y112" s="2924"/>
      <c r="Z112" s="2924"/>
      <c r="AA112" s="2924"/>
      <c r="AB112" s="2924"/>
      <c r="AC112" s="2924"/>
    </row>
    <row r="113" spans="1:29" ht="15.75" thickBot="1">
      <c r="A113" s="491"/>
      <c r="B113" s="500"/>
      <c r="C113" s="527"/>
      <c r="D113" s="527"/>
      <c r="E113" s="527"/>
      <c r="F113" s="527"/>
      <c r="G113" s="493"/>
      <c r="H113" s="493"/>
      <c r="I113" s="493"/>
      <c r="J113" s="493"/>
      <c r="K113" s="493"/>
      <c r="L113" s="493"/>
      <c r="M113" s="494"/>
      <c r="N113" s="2953"/>
      <c r="O113" s="2953"/>
      <c r="P113" s="2977"/>
      <c r="Q113" s="2938"/>
      <c r="R113" s="2924"/>
      <c r="S113" s="2924"/>
      <c r="T113" s="2924"/>
      <c r="U113" s="2924"/>
      <c r="V113" s="2924"/>
      <c r="W113" s="2924"/>
      <c r="X113" s="2924"/>
      <c r="Y113" s="2924"/>
      <c r="Z113" s="2924"/>
      <c r="AA113" s="2924"/>
      <c r="AB113" s="2924"/>
      <c r="AC113" s="2924"/>
    </row>
    <row r="114" spans="1:29" s="430" customFormat="1" ht="15" thickTop="1">
      <c r="A114" s="550"/>
      <c r="B114" s="551">
        <f>B37</f>
        <v>111</v>
      </c>
      <c r="C114" s="552"/>
      <c r="D114" s="552"/>
      <c r="E114" s="552"/>
      <c r="F114" s="552"/>
      <c r="G114" s="552"/>
      <c r="H114" s="552"/>
      <c r="I114" s="552"/>
      <c r="J114" s="553"/>
      <c r="K114" s="553"/>
      <c r="L114" s="554"/>
      <c r="M114" s="555"/>
      <c r="N114" s="2954"/>
      <c r="O114" s="2954"/>
      <c r="P114" s="2978"/>
      <c r="Q114" s="2945"/>
      <c r="R114" s="2946"/>
      <c r="S114" s="2946"/>
      <c r="T114" s="2946"/>
      <c r="U114" s="2946"/>
      <c r="V114" s="2946"/>
      <c r="W114" s="2946"/>
      <c r="X114" s="2946"/>
      <c r="Y114" s="2946"/>
      <c r="Z114" s="2946"/>
      <c r="AA114" s="2946"/>
      <c r="AB114" s="2946"/>
      <c r="AC114" s="2946"/>
    </row>
    <row r="115" spans="1:29" s="430" customFormat="1" ht="15.75" thickBot="1">
      <c r="A115" s="510"/>
      <c r="B115" s="503"/>
      <c r="C115" s="469"/>
      <c r="D115" s="633"/>
      <c r="E115" s="633"/>
      <c r="F115" s="633"/>
      <c r="G115" s="633"/>
      <c r="H115" s="633"/>
      <c r="I115" s="633"/>
      <c r="J115" s="633"/>
      <c r="K115" s="633"/>
      <c r="L115" s="633"/>
      <c r="M115" s="655"/>
      <c r="N115" s="2953"/>
      <c r="O115" s="2953"/>
      <c r="P115" s="2978"/>
      <c r="Q115" s="2945"/>
      <c r="R115" s="2946"/>
      <c r="S115" s="2946"/>
      <c r="T115" s="2946"/>
      <c r="U115" s="2946"/>
      <c r="V115" s="2946"/>
      <c r="W115" s="2946"/>
      <c r="X115" s="2946"/>
      <c r="Y115" s="2946"/>
      <c r="Z115" s="2946"/>
      <c r="AA115" s="2946"/>
      <c r="AB115" s="2946"/>
      <c r="AC115" s="2946"/>
    </row>
    <row r="116" spans="1:29" ht="28.5">
      <c r="A116" s="484" t="s">
        <v>2324</v>
      </c>
      <c r="B116" s="485" t="s">
        <v>2552</v>
      </c>
      <c r="C116" s="486" t="str">
        <f>C117&amp;"(含)"&amp;"-"&amp;D117</f>
        <v>0(含)-10000</v>
      </c>
      <c r="D116" s="486" t="str">
        <f t="shared" ref="D116:M116" si="25">D117&amp;"(含)"&amp;"-"&amp;E117</f>
        <v>10000(含)-20000</v>
      </c>
      <c r="E116" s="486" t="str">
        <f t="shared" si="25"/>
        <v>20000(含)-30000</v>
      </c>
      <c r="F116" s="486" t="str">
        <f t="shared" si="25"/>
        <v>30000(含)-40000</v>
      </c>
      <c r="G116" s="486" t="str">
        <f t="shared" si="25"/>
        <v>40000(含)-</v>
      </c>
      <c r="H116" s="486" t="str">
        <f t="shared" si="25"/>
        <v>(含)-</v>
      </c>
      <c r="I116" s="486" t="str">
        <f t="shared" si="25"/>
        <v>(含)-</v>
      </c>
      <c r="J116" s="486" t="str">
        <f t="shared" si="25"/>
        <v>(含)-</v>
      </c>
      <c r="K116" s="486" t="str">
        <f t="shared" si="25"/>
        <v>(含)-</v>
      </c>
      <c r="L116" s="486" t="str">
        <f t="shared" si="25"/>
        <v>(含)-</v>
      </c>
      <c r="M116" s="486" t="str">
        <f t="shared" si="25"/>
        <v>(含)-</v>
      </c>
      <c r="N116" s="2952"/>
      <c r="O116" s="2952"/>
      <c r="P116" s="2977"/>
      <c r="Q116" s="2938"/>
      <c r="R116" s="2924"/>
      <c r="S116" s="2924"/>
      <c r="T116" s="2924"/>
      <c r="U116" s="2924"/>
      <c r="V116" s="2924"/>
      <c r="W116" s="2924"/>
      <c r="X116" s="2924"/>
      <c r="Y116" s="2924"/>
      <c r="Z116" s="2924"/>
      <c r="AA116" s="2924"/>
      <c r="AB116" s="2924"/>
      <c r="AC116" s="2924"/>
    </row>
    <row r="117" spans="1:29" ht="15">
      <c r="A117" s="491"/>
      <c r="B117" s="503"/>
      <c r="C117" s="552">
        <v>0</v>
      </c>
      <c r="D117" s="552">
        <v>10000</v>
      </c>
      <c r="E117" s="552">
        <v>20000</v>
      </c>
      <c r="F117" s="552">
        <v>30000</v>
      </c>
      <c r="G117" s="552">
        <v>40000</v>
      </c>
      <c r="H117" s="552"/>
      <c r="I117" s="552"/>
      <c r="J117" s="553"/>
      <c r="K117" s="553"/>
      <c r="L117" s="554"/>
      <c r="M117" s="555"/>
      <c r="N117" s="2952"/>
      <c r="O117" s="2952"/>
      <c r="P117" s="2977"/>
      <c r="Q117" s="2938"/>
      <c r="R117" s="2924"/>
      <c r="S117" s="2924"/>
      <c r="T117" s="2924"/>
      <c r="U117" s="2924"/>
      <c r="V117" s="2924"/>
      <c r="W117" s="2924"/>
      <c r="X117" s="2924"/>
      <c r="Y117" s="2924"/>
      <c r="Z117" s="2924"/>
      <c r="AA117" s="2924"/>
      <c r="AB117" s="2924"/>
      <c r="AC117" s="2924"/>
    </row>
    <row r="118" spans="1:29" ht="15.75" thickBot="1">
      <c r="A118" s="491"/>
      <c r="B118" s="500"/>
      <c r="C118" s="527">
        <v>100</v>
      </c>
      <c r="D118" s="548">
        <v>101</v>
      </c>
      <c r="E118" s="548">
        <v>102</v>
      </c>
      <c r="F118" s="548">
        <v>103</v>
      </c>
      <c r="G118" s="548">
        <v>104</v>
      </c>
      <c r="H118" s="548"/>
      <c r="I118" s="548"/>
      <c r="J118" s="548"/>
      <c r="K118" s="548"/>
      <c r="L118" s="548"/>
      <c r="M118" s="549"/>
      <c r="N118" s="2953"/>
      <c r="O118" s="2953"/>
      <c r="P118" s="2977"/>
      <c r="Q118" s="2938"/>
      <c r="R118" s="2924"/>
      <c r="S118" s="2924"/>
      <c r="T118" s="2924"/>
      <c r="U118" s="2924"/>
      <c r="V118" s="2924"/>
      <c r="W118" s="2924"/>
      <c r="X118" s="2924"/>
      <c r="Y118" s="2924"/>
      <c r="Z118" s="2924"/>
      <c r="AA118" s="2924"/>
      <c r="AB118" s="2924"/>
      <c r="AC118" s="2924"/>
    </row>
    <row r="119" spans="1:29" ht="15" thickTop="1">
      <c r="A119" s="556"/>
      <c r="B119" s="495" t="s">
        <v>2553</v>
      </c>
      <c r="C119" s="540"/>
      <c r="D119" s="540"/>
      <c r="E119" s="540"/>
      <c r="F119" s="540"/>
      <c r="G119" s="540"/>
      <c r="H119" s="540"/>
      <c r="I119" s="540"/>
      <c r="J119" s="540"/>
      <c r="K119" s="541"/>
      <c r="L119" s="542"/>
      <c r="M119" s="543"/>
      <c r="N119" s="2952"/>
      <c r="O119" s="2952"/>
      <c r="P119" s="2977"/>
      <c r="Q119" s="2938"/>
      <c r="R119" s="2924"/>
      <c r="S119" s="2924"/>
      <c r="T119" s="2924"/>
      <c r="U119" s="2924"/>
      <c r="V119" s="2924"/>
      <c r="W119" s="2924"/>
      <c r="X119" s="2924"/>
      <c r="Y119" s="2924"/>
      <c r="Z119" s="2924"/>
      <c r="AA119" s="2924"/>
      <c r="AB119" s="2924"/>
      <c r="AC119" s="292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3"/>
      <c r="O120" s="2953"/>
      <c r="P120" s="2977"/>
      <c r="Q120" s="2938"/>
      <c r="R120" s="2924"/>
      <c r="S120" s="2924"/>
      <c r="T120" s="2924"/>
      <c r="U120" s="2924"/>
      <c r="V120" s="2924"/>
      <c r="W120" s="2924"/>
      <c r="X120" s="2924"/>
      <c r="Y120" s="2924"/>
      <c r="Z120" s="2924"/>
      <c r="AA120" s="2924"/>
      <c r="AB120" s="2924"/>
      <c r="AC120" s="2924"/>
    </row>
    <row r="121" spans="1:29" ht="15" thickTop="1">
      <c r="A121" s="556"/>
      <c r="B121" s="495" t="s">
        <v>2554</v>
      </c>
      <c r="C121" s="511"/>
      <c r="D121" s="511"/>
      <c r="E121" s="511"/>
      <c r="F121" s="540"/>
      <c r="G121" s="540"/>
      <c r="H121" s="540"/>
      <c r="I121" s="540"/>
      <c r="J121" s="540"/>
      <c r="K121" s="541"/>
      <c r="L121" s="542"/>
      <c r="M121" s="543"/>
      <c r="N121" s="2952"/>
      <c r="O121" s="2952"/>
      <c r="P121" s="2977"/>
      <c r="Q121" s="2938"/>
      <c r="R121" s="2924"/>
      <c r="S121" s="2924"/>
      <c r="T121" s="2924"/>
      <c r="U121" s="2924"/>
      <c r="V121" s="2924"/>
      <c r="W121" s="2924"/>
      <c r="X121" s="2924"/>
      <c r="Y121" s="2924"/>
      <c r="Z121" s="2924"/>
      <c r="AA121" s="2924"/>
      <c r="AB121" s="2924"/>
      <c r="AC121" s="292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3"/>
      <c r="O122" s="2953"/>
      <c r="P122" s="2977"/>
      <c r="Q122" s="2938"/>
      <c r="R122" s="2924"/>
      <c r="S122" s="2924"/>
      <c r="T122" s="2924"/>
      <c r="U122" s="2924"/>
      <c r="V122" s="2924"/>
      <c r="W122" s="2924"/>
      <c r="X122" s="2924"/>
      <c r="Y122" s="2924"/>
      <c r="Z122" s="2924"/>
      <c r="AA122" s="2924"/>
      <c r="AB122" s="2924"/>
      <c r="AC122" s="2924"/>
    </row>
    <row r="123" spans="1:29" s="430" customFormat="1" ht="15" thickTop="1">
      <c r="A123" s="550"/>
      <c r="B123" s="495" t="s">
        <v>2555</v>
      </c>
      <c r="C123" s="3348" t="s">
        <v>3716</v>
      </c>
      <c r="D123" s="3348" t="s">
        <v>3714</v>
      </c>
      <c r="E123" s="3348" t="s">
        <v>3717</v>
      </c>
      <c r="F123" s="3348" t="s">
        <v>3715</v>
      </c>
      <c r="G123" s="511"/>
      <c r="H123" s="540"/>
      <c r="I123" s="540"/>
      <c r="J123" s="540"/>
      <c r="K123" s="541"/>
      <c r="L123" s="542"/>
      <c r="M123" s="543"/>
      <c r="N123" s="2954"/>
      <c r="O123" s="2954"/>
      <c r="P123" s="2978"/>
      <c r="Q123" s="2945"/>
      <c r="R123" s="2946"/>
      <c r="S123" s="2946"/>
      <c r="T123" s="2946"/>
      <c r="U123" s="2946"/>
      <c r="V123" s="2946"/>
      <c r="W123" s="2946"/>
      <c r="X123" s="2946"/>
      <c r="Y123" s="2946"/>
      <c r="Z123" s="2946"/>
      <c r="AA123" s="2946"/>
      <c r="AB123" s="2946"/>
      <c r="AC123" s="2946"/>
    </row>
    <row r="124" spans="1:29" s="430" customFormat="1" ht="15.75" thickBot="1">
      <c r="A124" s="510"/>
      <c r="B124" s="500"/>
      <c r="C124" s="501">
        <v>100</v>
      </c>
      <c r="D124" s="501">
        <f>C124-$K41</f>
        <v>98</v>
      </c>
      <c r="E124" s="501">
        <f t="shared" ref="E124:M124" si="28">D124-$K41</f>
        <v>96</v>
      </c>
      <c r="F124" s="501">
        <f t="shared" si="28"/>
        <v>94</v>
      </c>
      <c r="G124" s="501">
        <f t="shared" si="28"/>
        <v>92</v>
      </c>
      <c r="H124" s="501">
        <f t="shared" si="28"/>
        <v>90</v>
      </c>
      <c r="I124" s="501">
        <f t="shared" si="28"/>
        <v>88</v>
      </c>
      <c r="J124" s="501">
        <f t="shared" si="28"/>
        <v>86</v>
      </c>
      <c r="K124" s="501">
        <f t="shared" si="28"/>
        <v>84</v>
      </c>
      <c r="L124" s="501">
        <f t="shared" si="28"/>
        <v>82</v>
      </c>
      <c r="M124" s="502">
        <f t="shared" si="28"/>
        <v>80</v>
      </c>
      <c r="N124" s="2954"/>
      <c r="O124" s="2954"/>
      <c r="P124" s="2978"/>
      <c r="Q124" s="2945"/>
      <c r="R124" s="2946"/>
      <c r="S124" s="2946"/>
      <c r="T124" s="2946"/>
      <c r="U124" s="2946"/>
      <c r="V124" s="2946"/>
      <c r="W124" s="2946"/>
      <c r="X124" s="2946"/>
      <c r="Y124" s="2946"/>
      <c r="Z124" s="2946"/>
      <c r="AA124" s="2946"/>
      <c r="AB124" s="2946"/>
      <c r="AC124" s="2946"/>
    </row>
    <row r="125" spans="1:29" ht="15" thickTop="1">
      <c r="A125" s="556"/>
      <c r="B125" s="495" t="s">
        <v>2556</v>
      </c>
      <c r="C125" s="511"/>
      <c r="D125" s="511"/>
      <c r="E125" s="540"/>
      <c r="F125" s="540"/>
      <c r="G125" s="540"/>
      <c r="H125" s="540"/>
      <c r="I125" s="540"/>
      <c r="J125" s="540"/>
      <c r="K125" s="541"/>
      <c r="L125" s="542"/>
      <c r="M125" s="543"/>
      <c r="N125" s="2952"/>
      <c r="O125" s="2952"/>
      <c r="P125" s="2977"/>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3"/>
      <c r="O126" s="2953"/>
      <c r="P126" s="2977"/>
      <c r="Q126" s="2938"/>
      <c r="R126" s="2924"/>
      <c r="S126" s="2924"/>
      <c r="T126" s="2924"/>
      <c r="U126" s="2924"/>
      <c r="V126" s="2924"/>
      <c r="W126" s="2924"/>
      <c r="X126" s="2924"/>
      <c r="Y126" s="2924"/>
      <c r="Z126" s="2924"/>
      <c r="AA126" s="2924"/>
      <c r="AB126" s="2924"/>
      <c r="AC126" s="2924"/>
    </row>
    <row r="127" spans="1:29" ht="15" thickTop="1">
      <c r="A127" s="556"/>
      <c r="B127" s="495">
        <f>B43</f>
        <v>111</v>
      </c>
      <c r="C127" s="511"/>
      <c r="D127" s="511"/>
      <c r="E127" s="511"/>
      <c r="F127" s="511"/>
      <c r="G127" s="511"/>
      <c r="H127" s="540"/>
      <c r="I127" s="540"/>
      <c r="J127" s="540"/>
      <c r="K127" s="541"/>
      <c r="L127" s="542"/>
      <c r="M127" s="543"/>
      <c r="N127" s="2952"/>
      <c r="O127" s="2952"/>
      <c r="P127" s="2977"/>
      <c r="Q127" s="2938"/>
      <c r="R127" s="2924"/>
      <c r="S127" s="2924"/>
      <c r="T127" s="2924"/>
      <c r="U127" s="2924"/>
      <c r="V127" s="2924"/>
      <c r="W127" s="2924"/>
      <c r="X127" s="2924"/>
      <c r="Y127" s="2924"/>
      <c r="Z127" s="2924"/>
      <c r="AA127" s="2924"/>
      <c r="AB127" s="2924"/>
      <c r="AC127" s="2924"/>
    </row>
    <row r="128" spans="1:29" ht="15.75" thickBot="1">
      <c r="A128" s="491"/>
      <c r="B128" s="500"/>
      <c r="C128" s="517"/>
      <c r="D128" s="517"/>
      <c r="E128" s="517"/>
      <c r="F128" s="517"/>
      <c r="G128" s="493"/>
      <c r="H128" s="493"/>
      <c r="I128" s="493"/>
      <c r="J128" s="493"/>
      <c r="K128" s="493"/>
      <c r="L128" s="493"/>
      <c r="M128" s="494"/>
      <c r="N128" s="2953"/>
      <c r="O128" s="2953"/>
      <c r="P128" s="2977"/>
      <c r="Q128" s="2938"/>
      <c r="R128" s="2924"/>
      <c r="S128" s="2924"/>
      <c r="T128" s="2924"/>
      <c r="U128" s="2924"/>
      <c r="V128" s="2924"/>
      <c r="W128" s="2924"/>
      <c r="X128" s="2924"/>
      <c r="Y128" s="2924"/>
      <c r="Z128" s="2924"/>
      <c r="AA128" s="2924"/>
      <c r="AB128" s="2924"/>
      <c r="AC128" s="2924"/>
    </row>
    <row r="129" spans="1:29" ht="15" thickTop="1">
      <c r="A129" s="556"/>
      <c r="B129" s="495">
        <f>B44</f>
        <v>111</v>
      </c>
      <c r="C129" s="480"/>
      <c r="D129" s="480"/>
      <c r="E129" s="480"/>
      <c r="F129" s="480"/>
      <c r="G129" s="540"/>
      <c r="H129" s="540"/>
      <c r="I129" s="540"/>
      <c r="J129" s="540"/>
      <c r="K129" s="541"/>
      <c r="L129" s="542"/>
      <c r="M129" s="543"/>
      <c r="N129" s="2952"/>
      <c r="O129" s="2952"/>
      <c r="P129" s="2977"/>
      <c r="Q129" s="2938"/>
      <c r="R129" s="2924"/>
      <c r="S129" s="2924"/>
      <c r="T129" s="2924"/>
      <c r="U129" s="2924"/>
      <c r="V129" s="2924"/>
      <c r="W129" s="2924"/>
      <c r="X129" s="2924"/>
      <c r="Y129" s="2924"/>
      <c r="Z129" s="2924"/>
      <c r="AA129" s="2924"/>
      <c r="AB129" s="2924"/>
      <c r="AC129" s="2924"/>
    </row>
    <row r="130" spans="1:29" ht="15.75" thickBot="1">
      <c r="A130" s="491"/>
      <c r="B130" s="500"/>
      <c r="C130" s="527"/>
      <c r="D130" s="527"/>
      <c r="E130" s="527"/>
      <c r="F130" s="527"/>
      <c r="G130" s="493"/>
      <c r="H130" s="493"/>
      <c r="I130" s="493"/>
      <c r="J130" s="493"/>
      <c r="K130" s="493"/>
      <c r="L130" s="493"/>
      <c r="M130" s="494"/>
      <c r="N130" s="2953"/>
      <c r="O130" s="2953"/>
      <c r="P130" s="2977"/>
      <c r="Q130" s="2938"/>
      <c r="R130" s="2924"/>
      <c r="S130" s="2924"/>
      <c r="T130" s="2924"/>
      <c r="U130" s="2924"/>
      <c r="V130" s="2924"/>
      <c r="W130" s="2924"/>
      <c r="X130" s="2924"/>
      <c r="Y130" s="2924"/>
      <c r="Z130" s="2924"/>
      <c r="AA130" s="2924"/>
      <c r="AB130" s="2924"/>
      <c r="AC130" s="2924"/>
    </row>
    <row r="131" spans="1:29" s="430" customFormat="1" ht="15" thickTop="1">
      <c r="A131" s="550"/>
      <c r="B131" s="495">
        <f>B45</f>
        <v>111</v>
      </c>
      <c r="C131" s="480"/>
      <c r="D131" s="480"/>
      <c r="E131" s="480"/>
      <c r="F131" s="480"/>
      <c r="G131" s="512"/>
      <c r="H131" s="512"/>
      <c r="I131" s="512"/>
      <c r="J131" s="512"/>
      <c r="K131" s="512"/>
      <c r="L131" s="513"/>
      <c r="M131" s="514"/>
      <c r="N131" s="2954"/>
      <c r="O131" s="2954"/>
      <c r="P131" s="2978"/>
      <c r="Q131" s="2945"/>
      <c r="R131" s="2946"/>
      <c r="S131" s="2946"/>
      <c r="T131" s="2946"/>
      <c r="U131" s="2946"/>
      <c r="V131" s="2946"/>
      <c r="W131" s="2946"/>
      <c r="X131" s="2946"/>
      <c r="Y131" s="2946"/>
      <c r="Z131" s="2946"/>
      <c r="AA131" s="2946"/>
      <c r="AB131" s="2946"/>
      <c r="AC131" s="2946"/>
    </row>
    <row r="132" spans="1:29" s="430" customFormat="1" ht="15.75" thickBot="1">
      <c r="A132" s="525"/>
      <c r="B132" s="656"/>
      <c r="C132" s="527"/>
      <c r="D132" s="527"/>
      <c r="E132" s="527"/>
      <c r="F132" s="527"/>
      <c r="G132" s="548"/>
      <c r="H132" s="548"/>
      <c r="I132" s="548"/>
      <c r="J132" s="548"/>
      <c r="K132" s="548"/>
      <c r="L132" s="548"/>
      <c r="M132" s="549"/>
      <c r="N132" s="2954"/>
      <c r="O132" s="2954"/>
      <c r="P132" s="2978"/>
      <c r="Q132" s="2945"/>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70" priority="18" stopIfTrue="1" operator="containsText" text="超过">
      <formula>NOT(ISERROR(SEARCH("超过",F51)))</formula>
    </cfRule>
  </conditionalFormatting>
  <conditionalFormatting sqref="J53">
    <cfRule type="containsText" dxfId="169" priority="17" stopIfTrue="1" operator="containsText" text="超过">
      <formula>NOT(ISERROR(SEARCH("超过",J53)))</formula>
    </cfRule>
  </conditionalFormatting>
  <conditionalFormatting sqref="H53">
    <cfRule type="containsText" dxfId="168" priority="16" stopIfTrue="1" operator="containsText" text="超过">
      <formula>NOT(ISERROR(SEARCH("超过",H53)))</formula>
    </cfRule>
  </conditionalFormatting>
  <conditionalFormatting sqref="F53">
    <cfRule type="containsText" dxfId="167" priority="15" stopIfTrue="1" operator="containsText" text="超过">
      <formula>NOT(ISERROR(SEARCH("超过",F53)))</formula>
    </cfRule>
  </conditionalFormatting>
  <conditionalFormatting sqref="F52 H52 J52">
    <cfRule type="containsText" dxfId="166" priority="14" stopIfTrue="1" operator="containsText" text="超过">
      <formula>NOT(ISERROR(SEARCH("超过",F52)))</formula>
    </cfRule>
  </conditionalFormatting>
  <conditionalFormatting sqref="E51">
    <cfRule type="expression" dxfId="165" priority="13" stopIfTrue="1">
      <formula>$F$51="超过30%"</formula>
    </cfRule>
  </conditionalFormatting>
  <conditionalFormatting sqref="G53">
    <cfRule type="expression" dxfId="164" priority="12" stopIfTrue="1">
      <formula>$H$53="超过30%"</formula>
    </cfRule>
  </conditionalFormatting>
  <conditionalFormatting sqref="E52">
    <cfRule type="expression" dxfId="163" priority="11" stopIfTrue="1">
      <formula>$F$52="超过20%"</formula>
    </cfRule>
  </conditionalFormatting>
  <conditionalFormatting sqref="E53">
    <cfRule type="expression" dxfId="162" priority="10" stopIfTrue="1">
      <formula>$F$53="超过30%"</formula>
    </cfRule>
  </conditionalFormatting>
  <conditionalFormatting sqref="G51">
    <cfRule type="expression" dxfId="161" priority="9" stopIfTrue="1">
      <formula>$H$53+$H$51="超过30%"</formula>
    </cfRule>
  </conditionalFormatting>
  <conditionalFormatting sqref="G52">
    <cfRule type="expression" dxfId="160" priority="8" stopIfTrue="1">
      <formula>$H$52="超过20%"</formula>
    </cfRule>
  </conditionalFormatting>
  <conditionalFormatting sqref="I51">
    <cfRule type="expression" dxfId="159" priority="7" stopIfTrue="1">
      <formula>$J$51="超过30%"</formula>
    </cfRule>
  </conditionalFormatting>
  <conditionalFormatting sqref="I52">
    <cfRule type="expression" dxfId="158" priority="6" stopIfTrue="1">
      <formula>$J$52="超过20%"</formula>
    </cfRule>
  </conditionalFormatting>
  <conditionalFormatting sqref="I53">
    <cfRule type="expression" dxfId="157" priority="5" stopIfTrue="1">
      <formula>$J$53="超过30%"</formula>
    </cfRule>
  </conditionalFormatting>
  <conditionalFormatting sqref="F47">
    <cfRule type="expression" dxfId="156" priority="4">
      <formula>$D$47="简单平均"</formula>
    </cfRule>
  </conditionalFormatting>
  <conditionalFormatting sqref="H47">
    <cfRule type="expression" dxfId="155" priority="3">
      <formula>$D$47="简单平均"</formula>
    </cfRule>
  </conditionalFormatting>
  <conditionalFormatting sqref="J47">
    <cfRule type="expression" dxfId="154" priority="2">
      <formula>$D$47="简单平均"</formula>
    </cfRule>
  </conditionalFormatting>
  <conditionalFormatting sqref="F7:F45 H7:H45 J7:J45">
    <cfRule type="cellIs" dxfId="15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4"/>
      <c r="C1" s="2015" t="s">
        <v>2189</v>
      </c>
      <c r="D1" s="204"/>
      <c r="E1" s="204"/>
      <c r="F1" s="204"/>
      <c r="G1" s="1260">
        <f>MATCH(B1,'数据-取费表'!A6:A16,0)+5</f>
        <v>8</v>
      </c>
      <c r="H1" s="1192" t="str">
        <f>IF(ISERROR(FIND("住宅",B1)),"非住宅","住宅")</f>
        <v>非住宅</v>
      </c>
    </row>
    <row r="2" spans="1:8" s="206" customFormat="1" ht="18" customHeight="1">
      <c r="A2" s="207" t="s">
        <v>2088</v>
      </c>
      <c r="B2" s="208">
        <f ca="1">ROUND(IF(D2="——",C52/10000,C52/10000-E2),0)</f>
        <v>44016</v>
      </c>
      <c r="C2" s="205" t="s">
        <v>2089</v>
      </c>
      <c r="D2" s="2009" t="s">
        <v>70</v>
      </c>
      <c r="E2" s="1303" t="e">
        <f ca="1">SUMIF(INDIRECT("'"&amp;G2&amp;"'"&amp;"!A:A"),"承租人权益价值",INDIRECT("'"&amp;G2&amp;"'"&amp;"!c:c"))</f>
        <v>#REF!</v>
      </c>
      <c r="F2" s="2010" t="s">
        <v>2089</v>
      </c>
      <c r="G2" s="2011"/>
    </row>
    <row r="3" spans="1:8" s="206" customFormat="1" ht="18" customHeight="1" thickBot="1">
      <c r="A3" s="209" t="s">
        <v>2090</v>
      </c>
      <c r="B3" s="210">
        <f ca="1">ROUND(B2*10000/(IF(B1="",'数据-汇总表'!E3,INDIRECT("'数据-取费表'!k"&amp;$G$1))),0)</f>
        <v>6297</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20270681</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20270681</v>
      </c>
      <c r="D8" s="228"/>
      <c r="E8" s="226"/>
      <c r="F8" s="227"/>
      <c r="G8" s="2012"/>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2106</v>
      </c>
      <c r="C10" s="231">
        <f ca="1">ROUND(D10*E10,0)</f>
        <v>20270681</v>
      </c>
      <c r="D10" s="954">
        <f ca="1">IF(B1="",'数据-汇总表'!E6,IF(INDIRECT("'数据-取费表'!c"&amp;$G$1)="住宅",INDIRECT("'数据-取费表'!s"&amp;$G$1),INDIRECT("'数据-取费表'!k"&amp;$G$1)+INDIRECT("'数据-取费表'!s"&amp;$G$1)))</f>
        <v>69898.900000000009</v>
      </c>
      <c r="E10" s="231">
        <f>'数据-取费表'!B28</f>
        <v>290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13979780</v>
      </c>
      <c r="D19" s="958">
        <f ca="1">D9+D10</f>
        <v>69898.900000000009</v>
      </c>
      <c r="E19" s="217">
        <f>'数据-取费表'!B31</f>
        <v>200</v>
      </c>
      <c r="F19" s="237"/>
      <c r="G19" s="2012"/>
    </row>
    <row r="20" spans="1:7" s="220" customFormat="1" ht="13.5" customHeight="1">
      <c r="A20" s="261" t="s">
        <v>2200</v>
      </c>
      <c r="B20" s="216" t="s">
        <v>2201</v>
      </c>
      <c r="C20" s="238">
        <f ca="1">ROUND((C5+C19)*F20,0)</f>
        <v>685009</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3074398</v>
      </c>
      <c r="D22" s="241">
        <f ca="1">C26</f>
        <v>8.9999999999999998E-4</v>
      </c>
      <c r="E22" s="242" t="s">
        <v>2205</v>
      </c>
      <c r="F22" s="243">
        <f ca="1">'数据-取费表'!B40</f>
        <v>4.3499999999999997E-2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1801906</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1242694</v>
      </c>
      <c r="D24" s="244"/>
      <c r="E24" s="244"/>
      <c r="F24" s="245"/>
      <c r="G24" s="246" t="s">
        <v>2212</v>
      </c>
    </row>
    <row r="25" spans="1:7" s="220" customFormat="1" ht="24">
      <c r="A25" s="888" t="s">
        <v>2102</v>
      </c>
      <c r="B25" s="221" t="s">
        <v>2213</v>
      </c>
      <c r="C25" s="1262">
        <f ca="1">ROUND(IF('数据-取费表'!B22&lt;=1,C20*F22*'数据-取费表'!B22/2,C20*(POWER((1+F22),'数据-取费表'!B22/2)-1)),0)</f>
        <v>29798</v>
      </c>
      <c r="D25" s="244"/>
      <c r="E25" s="247"/>
      <c r="F25" s="245"/>
      <c r="G25" s="248" t="s">
        <v>2214</v>
      </c>
    </row>
    <row r="26" spans="1:7" s="220" customFormat="1">
      <c r="A26" s="888" t="s">
        <v>795</v>
      </c>
      <c r="B26" s="221" t="s">
        <v>2137</v>
      </c>
      <c r="C26" s="244">
        <f ca="1">ROUND(IF('数据-取费表'!B22&lt;=1,F21*F22*'数据-取费表'!B22/2,F21*(POWER((1+F22),'数据-取费表'!B22/2)-1)),4)</f>
        <v>8.9999999999999998E-4</v>
      </c>
      <c r="D26" s="244"/>
      <c r="E26" s="247"/>
      <c r="F26" s="245"/>
      <c r="G26" s="249"/>
    </row>
    <row r="27" spans="1:7" s="220" customFormat="1" ht="24.75">
      <c r="A27" s="261" t="s">
        <v>2138</v>
      </c>
      <c r="B27" s="250" t="s">
        <v>2139</v>
      </c>
      <c r="C27" s="251">
        <f ca="1">C28</f>
        <v>6987094</v>
      </c>
      <c r="D27" s="241">
        <f ca="1">C29</f>
        <v>4.0000000000000001E-3</v>
      </c>
      <c r="E27" s="242" t="s">
        <v>2140</v>
      </c>
      <c r="F27" s="252">
        <f ca="1">IF(B1="",'数据-取费表'!Q16,INDIRECT("'数据-取费表'!q"&amp;$G$1))</f>
        <v>0.2</v>
      </c>
      <c r="G27" s="253" t="s">
        <v>2141</v>
      </c>
    </row>
    <row r="28" spans="1:7" s="220" customFormat="1" ht="13.5" customHeight="1">
      <c r="A28" s="888" t="s">
        <v>791</v>
      </c>
      <c r="B28" s="254" t="s">
        <v>2142</v>
      </c>
      <c r="C28" s="255">
        <f ca="1">ROUND((C5+C19+C20)*F27,0)</f>
        <v>6987094</v>
      </c>
      <c r="D28" s="241"/>
      <c r="E28" s="242"/>
      <c r="F28" s="252"/>
      <c r="G28" s="253"/>
    </row>
    <row r="29" spans="1:7" s="220" customFormat="1" ht="13.5" customHeight="1">
      <c r="A29" s="888" t="s">
        <v>792</v>
      </c>
      <c r="B29" s="254" t="s">
        <v>2143</v>
      </c>
      <c r="C29" s="244">
        <f ca="1">ROUND(C21*F27,4)</f>
        <v>4.0000000000000001E-3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48766622</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306157182</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279595600</v>
      </c>
      <c r="D34" s="223"/>
      <c r="E34" s="226"/>
      <c r="F34" s="263"/>
      <c r="G34" s="225"/>
    </row>
    <row r="35" spans="1:7" ht="13.5" customHeight="1">
      <c r="A35" s="888" t="s">
        <v>796</v>
      </c>
      <c r="B35" s="221" t="s">
        <v>2153</v>
      </c>
      <c r="C35" s="226">
        <f ca="1">ROUND(C34*F35,0)</f>
        <v>8387868</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0.05</v>
      </c>
      <c r="G36" s="266" t="s">
        <v>2156</v>
      </c>
    </row>
    <row r="37" spans="1:7" s="264" customFormat="1" ht="13.5" customHeight="1">
      <c r="A37" s="888" t="s">
        <v>798</v>
      </c>
      <c r="B37" s="221" t="s">
        <v>2157</v>
      </c>
      <c r="C37" s="255">
        <f ca="1">ROUND(E37*D37,0)</f>
        <v>13979780</v>
      </c>
      <c r="D37" s="223">
        <f ca="1">D19</f>
        <v>69898.900000000009</v>
      </c>
      <c r="E37" s="255">
        <f>'数据-取费表'!B35</f>
        <v>200</v>
      </c>
      <c r="F37" s="265"/>
      <c r="G37" s="267"/>
    </row>
    <row r="38" spans="1:7" ht="13.5" customHeight="1">
      <c r="A38" s="888" t="s">
        <v>799</v>
      </c>
      <c r="B38" s="221" t="s">
        <v>2159</v>
      </c>
      <c r="C38" s="226">
        <f ca="1">ROUND(C34*F38,0)</f>
        <v>4193934</v>
      </c>
      <c r="D38" s="226"/>
      <c r="E38" s="226"/>
      <c r="F38" s="265">
        <f>'数据-取费表'!B36</f>
        <v>1.4999999999999999E-2</v>
      </c>
      <c r="G38" s="225" t="s">
        <v>2154</v>
      </c>
    </row>
    <row r="39" spans="1:7" s="220" customFormat="1" ht="13.5" customHeight="1">
      <c r="A39" s="261" t="s">
        <v>2160</v>
      </c>
      <c r="B39" s="216" t="s">
        <v>2161</v>
      </c>
      <c r="C39" s="238">
        <f ca="1">ROUND(C33*F20,0)</f>
        <v>6123144</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13584194</v>
      </c>
      <c r="D41" s="241">
        <f ca="1">C44</f>
        <v>8.9999999999999998E-4</v>
      </c>
      <c r="E41" s="242" t="s">
        <v>2165</v>
      </c>
      <c r="F41" s="2506">
        <f ca="1">F22</f>
        <v>4.3499999999999997E-2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13317837</v>
      </c>
      <c r="D42" s="244"/>
      <c r="E42" s="244"/>
      <c r="F42" s="245"/>
      <c r="G42" s="3565" t="s">
        <v>2217</v>
      </c>
    </row>
    <row r="43" spans="1:7" ht="13.5" customHeight="1">
      <c r="A43" s="888" t="s">
        <v>792</v>
      </c>
      <c r="B43" s="221" t="s">
        <v>2171</v>
      </c>
      <c r="C43" s="244">
        <f ca="1">ROUND(IF('数据-取费表'!B22&lt;=1,C39*F22*'数据-取费表'!B20/2,C39*(POWER((1+F22),'数据-取费表'!B20/2)-1)),0)</f>
        <v>266357</v>
      </c>
      <c r="D43" s="244"/>
      <c r="E43" s="244"/>
      <c r="F43" s="245"/>
      <c r="G43" s="3566"/>
    </row>
    <row r="44" spans="1:7" ht="13.5" customHeight="1">
      <c r="A44" s="888" t="s">
        <v>793</v>
      </c>
      <c r="B44" s="221" t="s">
        <v>2172</v>
      </c>
      <c r="C44" s="244">
        <f ca="1">ROUND(IF('数据-取费表'!B22&lt;=1,C40*F22*'数据-取费表'!B20/2,C40*(POWER((1+F22),'数据-取费表'!B20/2)-1)),4)</f>
        <v>8.9999999999999998E-4</v>
      </c>
      <c r="D44" s="244"/>
      <c r="E44" s="244"/>
      <c r="F44" s="245"/>
      <c r="G44" s="3567"/>
    </row>
    <row r="45" spans="1:7" s="220" customFormat="1" ht="13.5" customHeight="1">
      <c r="A45" s="261" t="s">
        <v>2173</v>
      </c>
      <c r="B45" s="250" t="s">
        <v>2139</v>
      </c>
      <c r="C45" s="251">
        <f ca="1">C46</f>
        <v>62456065</v>
      </c>
      <c r="D45" s="241">
        <f ca="1">C47</f>
        <v>4.0000000000000001E-3</v>
      </c>
      <c r="E45" s="242" t="s">
        <v>2165</v>
      </c>
      <c r="F45" s="2507">
        <f ca="1">F27</f>
        <v>0.2</v>
      </c>
      <c r="G45" s="253" t="s">
        <v>2174</v>
      </c>
    </row>
    <row r="46" spans="1:7" s="220" customFormat="1" ht="13.5" customHeight="1">
      <c r="A46" s="888" t="s">
        <v>791</v>
      </c>
      <c r="B46" s="254" t="s">
        <v>2175</v>
      </c>
      <c r="C46" s="255">
        <f ca="1">ROUND((C33+C39)*F27,0)</f>
        <v>62456065</v>
      </c>
      <c r="D46" s="269"/>
      <c r="E46" s="242"/>
      <c r="F46" s="252"/>
      <c r="G46" s="253"/>
    </row>
    <row r="47" spans="1:7" s="220" customFormat="1" ht="13.5" customHeight="1">
      <c r="A47" s="888" t="s">
        <v>792</v>
      </c>
      <c r="B47" s="254" t="s">
        <v>2176</v>
      </c>
      <c r="C47" s="244">
        <f ca="1">ROUND(C40*F27,4)</f>
        <v>4.0000000000000001E-3</v>
      </c>
      <c r="D47" s="269"/>
      <c r="E47" s="242"/>
      <c r="F47" s="252"/>
      <c r="G47" s="253"/>
    </row>
    <row r="48" spans="1:7" s="220" customFormat="1" ht="13.5" customHeight="1">
      <c r="A48" s="261" t="s">
        <v>2138</v>
      </c>
      <c r="B48" s="216" t="s">
        <v>2177</v>
      </c>
      <c r="C48" s="268">
        <f>ROUND(F30/(1+'数据-取费表'!C42),4)</f>
        <v>5.2400000000000002E-2</v>
      </c>
      <c r="D48" s="242" t="s">
        <v>2165</v>
      </c>
      <c r="E48" s="238"/>
      <c r="F48" s="2506">
        <f>F30</f>
        <v>5.5000000000000007E-2</v>
      </c>
      <c r="G48" s="240" t="s">
        <v>2178</v>
      </c>
    </row>
    <row r="49" spans="1:7" ht="16.5" customHeight="1">
      <c r="A49" s="261" t="s">
        <v>2144</v>
      </c>
      <c r="B49" s="216" t="s">
        <v>2218</v>
      </c>
      <c r="C49" s="238">
        <f ca="1">ROUND((C33+C39+C41+C45)/(1-C40-D41-D45-C48),0)</f>
        <v>420852482</v>
      </c>
      <c r="D49" s="238"/>
      <c r="E49" s="238"/>
      <c r="F49" s="270"/>
      <c r="G49" s="240" t="s">
        <v>2180</v>
      </c>
    </row>
    <row r="50" spans="1:7" s="264" customFormat="1">
      <c r="A50" s="261" t="s">
        <v>2181</v>
      </c>
      <c r="B50" s="216" t="s">
        <v>2182</v>
      </c>
      <c r="C50" s="238"/>
      <c r="D50" s="238"/>
      <c r="E50" s="238"/>
      <c r="F50" s="270">
        <f>IF('数据-取费表'!B24=0,'数据-取费表'!N16,1)</f>
        <v>0.93</v>
      </c>
      <c r="G50" s="253"/>
    </row>
    <row r="51" spans="1:7" ht="16.5" customHeight="1">
      <c r="A51" s="261" t="s">
        <v>2184</v>
      </c>
      <c r="B51" s="216" t="s">
        <v>2219</v>
      </c>
      <c r="C51" s="238">
        <f ca="1">ROUND(C49*F50,0)</f>
        <v>391392808</v>
      </c>
      <c r="D51" s="238"/>
      <c r="E51" s="238"/>
      <c r="F51" s="270"/>
      <c r="G51" s="240" t="s">
        <v>2186</v>
      </c>
    </row>
    <row r="52" spans="1:7" s="214" customFormat="1" ht="16.5" thickBot="1">
      <c r="A52" s="271" t="s">
        <v>2187</v>
      </c>
      <c r="B52" s="272"/>
      <c r="C52" s="273">
        <f ca="1">C31+C51</f>
        <v>440159430</v>
      </c>
      <c r="D52" s="272"/>
      <c r="E52" s="272"/>
      <c r="F52" s="272"/>
      <c r="G52" s="274"/>
    </row>
    <row r="55" spans="1:7" ht="15">
      <c r="B55" s="276" t="s">
        <v>2188</v>
      </c>
      <c r="C55" s="277"/>
    </row>
    <row r="56" spans="1:7">
      <c r="B56" s="279" t="s">
        <v>1418</v>
      </c>
      <c r="C56" s="281">
        <f ca="1">1-C57</f>
        <v>0.11099999999999999</v>
      </c>
    </row>
    <row r="57" spans="1:7">
      <c r="B57" s="279" t="s">
        <v>1419</v>
      </c>
      <c r="C57" s="280">
        <f ca="1">ROUND(C51/C52,3)</f>
        <v>0.88900000000000001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5" sqref="C5"/>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5"/>
      <c r="C1" s="1326"/>
      <c r="D1" s="1324"/>
      <c r="E1" s="3007"/>
      <c r="F1" s="3007"/>
      <c r="G1" s="2870"/>
      <c r="H1" s="3007"/>
      <c r="I1" s="3007"/>
      <c r="J1" s="3007"/>
      <c r="K1" s="3008">
        <f>MATCH(C1,'数据-取费表'!A6:A16,0)+5</f>
        <v>8</v>
      </c>
    </row>
    <row r="2" spans="1:33" ht="18" customHeight="1">
      <c r="A2" s="207" t="s">
        <v>2088</v>
      </c>
      <c r="B2" s="210">
        <f ca="1">C32</f>
        <v>0</v>
      </c>
      <c r="C2" s="282" t="s">
        <v>2221</v>
      </c>
      <c r="D2" s="282"/>
      <c r="E2" s="3007"/>
      <c r="F2" s="3007"/>
      <c r="G2" s="3007"/>
      <c r="H2" s="3007"/>
      <c r="I2" s="3007"/>
      <c r="J2" s="3007"/>
      <c r="K2" s="3007"/>
    </row>
    <row r="3" spans="1:33" ht="18" customHeight="1" thickBot="1">
      <c r="A3" s="209" t="s">
        <v>2090</v>
      </c>
      <c r="B3" s="210">
        <f ca="1">ROUND(B2*10000/IF(C1="",'数据-汇总表'!E3,INDIRECT("'数据-取费表'!K"&amp;$K$1)),0)</f>
        <v>0</v>
      </c>
      <c r="C3" s="282" t="s">
        <v>2222</v>
      </c>
      <c r="D3" s="282"/>
      <c r="E3" s="3007"/>
      <c r="F3" s="3007"/>
      <c r="G3" s="3007"/>
      <c r="H3" s="3007"/>
      <c r="I3" s="3007"/>
      <c r="J3" s="3007"/>
      <c r="K3" s="3007"/>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6" t="s">
        <v>2226</v>
      </c>
      <c r="D5" s="2016" t="s">
        <v>2227</v>
      </c>
      <c r="E5" s="2016" t="s">
        <v>2228</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0.05</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69898.900000000009</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69898.900000000009</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8"/>
      <c r="H18" s="1321"/>
      <c r="I18" s="2019"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2256</v>
      </c>
      <c r="C20" s="24">
        <f ca="1">ROUND(D20*E20/10000,0)</f>
        <v>2027</v>
      </c>
      <c r="D20" s="955">
        <f ca="1">IF(C1="",'数据-汇总表'!E6,IF(INDIRECT("'数据-取费表'!c"&amp;$K$1)="住宅",INDIRECT("'数据-取费表'!s"&amp;$K$1),INDIRECT("'数据-取费表'!k"&amp;$K$1)+INDIRECT("'数据-取费表'!s"&amp;$K$1)))</f>
        <v>69898.900000000009</v>
      </c>
      <c r="E20" s="24">
        <f>'数据-取费表'!B28</f>
        <v>290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2270</v>
      </c>
      <c r="B28" s="2021" t="s">
        <v>2271</v>
      </c>
      <c r="C28" s="293">
        <f ca="1">C30</f>
        <v>0</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2"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29" sqref="J29"/>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2287</v>
      </c>
      <c r="B1" s="2024"/>
      <c r="C1" s="2024"/>
      <c r="D1" s="2024"/>
      <c r="E1" s="2025"/>
      <c r="F1" s="2906"/>
      <c r="G1" s="1644"/>
      <c r="H1" s="1644"/>
      <c r="I1" s="1644"/>
      <c r="J1" s="1644"/>
      <c r="K1" s="1644"/>
      <c r="L1" s="1644"/>
      <c r="M1" s="1644"/>
      <c r="N1" s="1644"/>
      <c r="O1" s="1644"/>
      <c r="P1" s="1644"/>
      <c r="Q1" s="1644"/>
      <c r="R1" s="1644"/>
      <c r="S1" s="1644"/>
    </row>
    <row r="2" spans="1:22" ht="15.75">
      <c r="A2" s="2026" t="s">
        <v>2088</v>
      </c>
      <c r="B2" s="2027">
        <f ca="1">SUMIF(B6:B13,"&lt;&gt;#ref!",B6:B13)</f>
        <v>47467</v>
      </c>
      <c r="C2" s="2028" t="s">
        <v>2280</v>
      </c>
      <c r="D2" s="2029" t="s">
        <v>2281</v>
      </c>
      <c r="E2" s="2803">
        <f>SUM(E6:E13)</f>
        <v>69898.900000000009</v>
      </c>
      <c r="F2" s="2906"/>
      <c r="G2" s="1644"/>
      <c r="H2" s="1644"/>
      <c r="I2" s="1644"/>
      <c r="J2" s="1644"/>
      <c r="K2" s="1644"/>
      <c r="L2" s="1644"/>
      <c r="M2" s="1644"/>
      <c r="N2" s="1644"/>
      <c r="O2" s="1644"/>
      <c r="P2" s="1644"/>
      <c r="Q2" s="1644"/>
      <c r="R2" s="1644"/>
      <c r="S2" s="1644"/>
    </row>
    <row r="3" spans="1:22" ht="15.75">
      <c r="A3" s="2026" t="s">
        <v>1300</v>
      </c>
      <c r="B3" s="2797">
        <f ca="1">ROUND(B2*10000/E2,0)</f>
        <v>6791</v>
      </c>
      <c r="C3" s="2028" t="s">
        <v>2288</v>
      </c>
      <c r="D3" s="2908"/>
      <c r="E3" s="2910"/>
      <c r="F3" s="2906"/>
      <c r="G3" s="1644"/>
      <c r="H3" s="1644"/>
      <c r="I3" s="1644"/>
      <c r="J3" s="1644"/>
      <c r="K3" s="1644"/>
      <c r="L3" s="1644"/>
      <c r="M3" s="1644"/>
      <c r="N3" s="1644"/>
      <c r="O3" s="1644"/>
      <c r="P3" s="1644"/>
      <c r="Q3" s="1644"/>
      <c r="R3" s="1644"/>
      <c r="S3" s="1644"/>
    </row>
    <row r="4" spans="1:22" ht="15.75">
      <c r="A4" s="2911"/>
      <c r="B4" s="2908"/>
      <c r="C4" s="2908"/>
      <c r="D4" s="2908"/>
      <c r="E4" s="2910"/>
      <c r="F4" s="2906"/>
      <c r="G4" s="1644"/>
      <c r="H4" s="1644"/>
      <c r="I4" s="1644"/>
      <c r="J4" s="1644"/>
      <c r="K4" s="1644"/>
      <c r="L4" s="1644"/>
      <c r="M4" s="1644"/>
      <c r="N4" s="1644"/>
      <c r="O4" s="1644"/>
      <c r="P4" s="1644"/>
      <c r="Q4" s="1644"/>
      <c r="R4" s="1644"/>
      <c r="S4" s="1644"/>
    </row>
    <row r="5" spans="1:22" ht="15">
      <c r="A5" s="2799" t="s">
        <v>2282</v>
      </c>
      <c r="B5" s="3611" t="s">
        <v>2283</v>
      </c>
      <c r="C5" s="3612"/>
      <c r="D5" s="2907"/>
      <c r="E5" s="2030" t="s">
        <v>2284</v>
      </c>
      <c r="F5" s="2031" t="s">
        <v>2285</v>
      </c>
      <c r="G5" s="1644"/>
      <c r="H5" s="1644"/>
      <c r="I5" s="1644"/>
      <c r="J5" s="1644"/>
      <c r="K5" s="1644"/>
      <c r="L5" s="1644"/>
      <c r="M5" s="1644"/>
      <c r="N5" s="1644"/>
      <c r="O5" s="1644"/>
      <c r="P5" s="1644"/>
      <c r="Q5" s="1644"/>
      <c r="R5" s="1644"/>
      <c r="S5" s="1644"/>
    </row>
    <row r="6" spans="1:22">
      <c r="A6" s="2800" t="str">
        <f>'数据-取费表'!AN6</f>
        <v>收益法</v>
      </c>
      <c r="B6" s="2798">
        <f ca="1">IF(F6="是",'数据-取费表'!AO6,0)</f>
        <v>44446</v>
      </c>
      <c r="C6" s="2028" t="s">
        <v>2280</v>
      </c>
      <c r="D6" s="2908"/>
      <c r="E6" s="2802">
        <f>IF(OR(A6=0,F6="否"),0,'数据-取费表'!K6+'数据-取费表'!S6)</f>
        <v>62340.200000000004</v>
      </c>
      <c r="F6" s="2032" t="s">
        <v>2286</v>
      </c>
      <c r="G6" s="1644"/>
      <c r="H6" s="1644"/>
      <c r="I6" s="1644"/>
      <c r="J6" s="1644"/>
      <c r="K6" s="1644"/>
      <c r="L6" s="1644"/>
      <c r="M6" s="1644"/>
      <c r="N6" s="1644"/>
      <c r="O6" s="1644"/>
      <c r="P6" s="1644"/>
      <c r="Q6" s="1644"/>
      <c r="R6" s="1644"/>
      <c r="S6" s="1644"/>
    </row>
    <row r="7" spans="1:22">
      <c r="A7" s="2800" t="str">
        <f>'数据-取费表'!AN7</f>
        <v>收益法-办公</v>
      </c>
      <c r="B7" s="2798">
        <f ca="1">IF(F7="是",'数据-取费表'!AO7,0)</f>
        <v>3021</v>
      </c>
      <c r="C7" s="2028" t="s">
        <v>2280</v>
      </c>
      <c r="D7" s="2908"/>
      <c r="E7" s="2802">
        <f>IF(OR(A7=0,F7="否"),0,'数据-取费表'!K7+'数据-取费表'!S7)</f>
        <v>7558.7</v>
      </c>
      <c r="F7" s="2032" t="s">
        <v>2286</v>
      </c>
      <c r="G7" s="1644"/>
      <c r="H7" s="1644"/>
      <c r="I7" s="1644"/>
      <c r="J7" s="1644"/>
      <c r="K7" s="1644"/>
      <c r="L7" s="1644"/>
      <c r="M7" s="1644"/>
      <c r="N7" s="1644"/>
      <c r="O7" s="1644"/>
      <c r="P7" s="1644"/>
      <c r="Q7" s="1644"/>
      <c r="R7" s="1644"/>
      <c r="S7" s="1644"/>
    </row>
    <row r="8" spans="1:22">
      <c r="A8" s="2800">
        <f>'数据-取费表'!AN8</f>
        <v>0</v>
      </c>
      <c r="B8" s="2798" t="e">
        <f ca="1">IF(F8="是",'数据-取费表'!AO8,0)</f>
        <v>#REF!</v>
      </c>
      <c r="C8" s="2028" t="s">
        <v>2280</v>
      </c>
      <c r="D8" s="2908"/>
      <c r="E8" s="2802">
        <f>IF(OR(A8=0,F8="否"),0,'数据-取费表'!K8+'数据-取费表'!S8)</f>
        <v>0</v>
      </c>
      <c r="F8" s="2032" t="s">
        <v>2286</v>
      </c>
      <c r="G8" s="1644"/>
      <c r="H8" s="1644"/>
      <c r="I8" s="1644"/>
      <c r="J8" s="1644"/>
      <c r="K8" s="1644"/>
      <c r="L8" s="1644"/>
      <c r="M8" s="1644"/>
      <c r="N8" s="1644"/>
      <c r="O8" s="1644"/>
      <c r="P8" s="1644"/>
      <c r="Q8" s="1644"/>
      <c r="R8" s="1644"/>
      <c r="S8" s="1644"/>
    </row>
    <row r="9" spans="1:22">
      <c r="A9" s="2800">
        <f>'数据-取费表'!AN9</f>
        <v>0</v>
      </c>
      <c r="B9" s="2798" t="e">
        <f ca="1">IF(F9="是",'数据-取费表'!AO9,0)</f>
        <v>#REF!</v>
      </c>
      <c r="C9" s="2028" t="s">
        <v>2280</v>
      </c>
      <c r="D9" s="2908"/>
      <c r="E9" s="2802">
        <f>IF(OR(A9=0,F9="否"),0,'数据-取费表'!K9+'数据-取费表'!S9)</f>
        <v>0</v>
      </c>
      <c r="F9" s="2032" t="s">
        <v>2286</v>
      </c>
      <c r="G9" s="1644"/>
      <c r="H9" s="1644"/>
      <c r="I9" s="1644"/>
      <c r="J9" s="1644"/>
      <c r="K9" s="1644"/>
      <c r="L9" s="1644"/>
      <c r="M9" s="1644"/>
      <c r="N9" s="1644"/>
      <c r="O9" s="1644"/>
      <c r="P9" s="1644"/>
      <c r="Q9" s="1644"/>
      <c r="R9" s="1644"/>
      <c r="S9" s="1644"/>
    </row>
    <row r="10" spans="1:22">
      <c r="A10" s="2800">
        <f>'数据-取费表'!AN10</f>
        <v>0</v>
      </c>
      <c r="B10" s="2798" t="e">
        <f ca="1">IF(F10="是",'数据-取费表'!AO10,0)</f>
        <v>#REF!</v>
      </c>
      <c r="C10" s="2028" t="s">
        <v>2280</v>
      </c>
      <c r="D10" s="2908"/>
      <c r="E10" s="2802">
        <f>IF(OR(A10=0,F10="否"),0,'数据-取费表'!K10+'数据-取费表'!S10)</f>
        <v>0</v>
      </c>
      <c r="F10" s="2032" t="s">
        <v>2286</v>
      </c>
      <c r="G10" s="1644"/>
      <c r="H10" s="1644"/>
      <c r="I10" s="1644"/>
      <c r="J10" s="1644"/>
      <c r="K10" s="1644"/>
      <c r="L10" s="1644"/>
      <c r="M10" s="1644"/>
      <c r="N10" s="1644"/>
      <c r="O10" s="1644"/>
      <c r="P10" s="1644"/>
      <c r="Q10" s="1644"/>
      <c r="R10" s="1644"/>
      <c r="S10" s="1644"/>
    </row>
    <row r="11" spans="1:22">
      <c r="A11" s="2800">
        <f>'数据-取费表'!AN11</f>
        <v>0</v>
      </c>
      <c r="B11" s="2798" t="e">
        <f ca="1">IF(F11="是",'数据-取费表'!AO11,0)</f>
        <v>#REF!</v>
      </c>
      <c r="C11" s="2028" t="s">
        <v>2280</v>
      </c>
      <c r="D11" s="2908"/>
      <c r="E11" s="2802">
        <f>IF(OR(A11=0,F11="否"),0,'数据-取费表'!K11+'数据-取费表'!S11)</f>
        <v>0</v>
      </c>
      <c r="F11" s="2032" t="s">
        <v>2286</v>
      </c>
      <c r="G11" s="1644"/>
      <c r="H11" s="1644"/>
      <c r="I11" s="1644"/>
      <c r="J11" s="1644"/>
      <c r="K11" s="1644"/>
      <c r="L11" s="1644"/>
      <c r="M11" s="1644"/>
      <c r="N11" s="1644"/>
      <c r="O11" s="1644"/>
      <c r="P11" s="1644"/>
      <c r="Q11" s="1644"/>
      <c r="R11" s="1644"/>
      <c r="S11" s="1644"/>
    </row>
    <row r="12" spans="1:22">
      <c r="A12" s="2800">
        <f>'数据-取费表'!AN12</f>
        <v>0</v>
      </c>
      <c r="B12" s="2798" t="e">
        <f ca="1">IF(F12="是",'数据-取费表'!AO12,0)</f>
        <v>#REF!</v>
      </c>
      <c r="C12" s="2028" t="s">
        <v>2280</v>
      </c>
      <c r="D12" s="2908"/>
      <c r="E12" s="2802">
        <f>IF(OR(A12=0,F12="否"),0,'数据-取费表'!K12+'数据-取费表'!S12)</f>
        <v>0</v>
      </c>
      <c r="F12" s="2032" t="s">
        <v>2286</v>
      </c>
      <c r="G12" s="1644"/>
      <c r="H12" s="1644"/>
      <c r="I12" s="1644"/>
      <c r="J12" s="1644"/>
      <c r="K12" s="1644"/>
      <c r="L12" s="1644"/>
      <c r="M12" s="1644"/>
      <c r="N12" s="1644"/>
      <c r="O12" s="1644"/>
      <c r="P12" s="1644"/>
      <c r="Q12" s="1644"/>
      <c r="R12" s="1644"/>
      <c r="S12" s="1644"/>
    </row>
    <row r="13" spans="1:22" ht="15" thickBot="1">
      <c r="A13" s="2801">
        <f>'数据-取费表'!AN13</f>
        <v>0</v>
      </c>
      <c r="B13" s="2798" t="e">
        <f ca="1">IF(F13="是",'数据-取费表'!AO13,0)</f>
        <v>#REF!</v>
      </c>
      <c r="C13" s="2033" t="s">
        <v>2280</v>
      </c>
      <c r="D13" s="2909"/>
      <c r="E13" s="2802">
        <f>IF(OR(A13=0,F13="否"),0,'数据-取费表'!K13+'数据-取费表'!S13)</f>
        <v>0</v>
      </c>
      <c r="F13" s="2032"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70" zoomScaleNormal="70" zoomScaleSheetLayoutView="70" workbookViewId="0">
      <selection activeCell="I42" sqref="I4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3196</v>
      </c>
      <c r="D1" s="1516"/>
      <c r="E1" s="1517" t="s">
        <v>1292</v>
      </c>
      <c r="F1" s="1193">
        <f ca="1">J53</f>
        <v>30.04</v>
      </c>
      <c r="G1" s="1532">
        <f>MATCH(C1,'数据-取费表'!A6:A16,0)+5</f>
        <v>6</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44446</v>
      </c>
      <c r="C2" s="1541" t="s">
        <v>1421</v>
      </c>
      <c r="D2" s="1541"/>
      <c r="E2" s="1542"/>
      <c r="F2" s="1543"/>
      <c r="G2" s="2905"/>
      <c r="H2" s="2894"/>
      <c r="I2" s="2894"/>
      <c r="J2" s="2894"/>
      <c r="K2" s="2895"/>
      <c r="L2" s="2894"/>
      <c r="M2" s="2894"/>
    </row>
    <row r="3" spans="1:37" ht="18" customHeight="1" thickBot="1">
      <c r="A3" s="1544" t="s">
        <v>1422</v>
      </c>
      <c r="B3" s="1545">
        <f ca="1">IF(ISERROR(B2*10000/F43),0,ROUND(B2*10000/F43,0))</f>
        <v>7130</v>
      </c>
      <c r="C3" s="1541" t="s">
        <v>1423</v>
      </c>
      <c r="D3" s="1541"/>
      <c r="E3" s="1542"/>
      <c r="F3" s="1543"/>
      <c r="G3" s="2905"/>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3965</v>
      </c>
      <c r="D5" s="1518" t="s">
        <v>1307</v>
      </c>
      <c r="E5" s="1203"/>
      <c r="F5" s="1204"/>
      <c r="G5" s="1538"/>
      <c r="H5" s="305">
        <v>1</v>
      </c>
      <c r="I5" s="306" t="s">
        <v>1306</v>
      </c>
      <c r="J5" s="1202">
        <f ca="1">J6+J10+J12</f>
        <v>0</v>
      </c>
      <c r="K5" s="1518" t="s">
        <v>1307</v>
      </c>
      <c r="L5" s="1203"/>
      <c r="M5" s="1204"/>
    </row>
    <row r="6" spans="1:37" ht="18" customHeight="1">
      <c r="A6" s="1201" t="s">
        <v>1003</v>
      </c>
      <c r="B6" s="3615" t="s">
        <v>1308</v>
      </c>
      <c r="C6" s="1206">
        <f ca="1">ROUND(F6*F8*F7*(1-F9)/10000,0)</f>
        <v>3960</v>
      </c>
      <c r="D6" s="160" t="s">
        <v>2791</v>
      </c>
      <c r="E6" s="308" t="s">
        <v>1310</v>
      </c>
      <c r="F6" s="309">
        <f ca="1">INDIRECT("'数据-取费表'!u"&amp;$G$1)</f>
        <v>44000000</v>
      </c>
      <c r="G6" s="1538"/>
      <c r="H6" s="1201" t="s">
        <v>1003</v>
      </c>
      <c r="I6" s="3615" t="s">
        <v>1308</v>
      </c>
      <c r="J6" s="307">
        <f ca="1">ROUND(M6*M8*M7*(1-M9)/10000,0)</f>
        <v>0</v>
      </c>
      <c r="K6" s="160" t="s">
        <v>2790</v>
      </c>
      <c r="L6" s="308" t="s">
        <v>1310</v>
      </c>
      <c r="M6" s="309">
        <f ca="1">INDIRECT("'数据-取费表'!z"&amp;$G$1)</f>
        <v>0</v>
      </c>
    </row>
    <row r="7" spans="1:37" ht="18" customHeight="1">
      <c r="A7" s="1205"/>
      <c r="B7" s="3616"/>
      <c r="C7" s="1207"/>
      <c r="D7" s="313"/>
      <c r="E7" s="1208" t="s">
        <v>1311</v>
      </c>
      <c r="F7" s="309">
        <f ca="1">IF(INDIRECT("'数据-取费表'!ah"&amp;$G$1)="",INDIRECT("'数据-取费表'!k"&amp;$G$1),INDIRECT("'数据-取费表'!ah"&amp;$G$1))</f>
        <v>1</v>
      </c>
      <c r="G7" s="1538"/>
      <c r="H7" s="310"/>
      <c r="I7" s="3616"/>
      <c r="J7" s="312"/>
      <c r="K7" s="313"/>
      <c r="L7" s="308" t="s">
        <v>1311</v>
      </c>
      <c r="M7" s="309">
        <f ca="1">F7</f>
        <v>1</v>
      </c>
    </row>
    <row r="8" spans="1:37" ht="18" customHeight="1">
      <c r="A8" s="310"/>
      <c r="B8" s="3616"/>
      <c r="C8" s="312"/>
      <c r="D8" s="313"/>
      <c r="E8" s="308" t="s">
        <v>1312</v>
      </c>
      <c r="F8" s="309">
        <f ca="1">INDIRECT("'数据-取费表'!ai"&amp;$G$1)</f>
        <v>1</v>
      </c>
      <c r="G8" s="1538"/>
      <c r="H8" s="310"/>
      <c r="I8" s="3616"/>
      <c r="J8" s="312"/>
      <c r="K8" s="313"/>
      <c r="L8" s="308" t="s">
        <v>1312</v>
      </c>
      <c r="M8" s="309">
        <f ca="1">INDIRECT("'数据-取费表'!ai"&amp;$G$1)</f>
        <v>1</v>
      </c>
    </row>
    <row r="9" spans="1:37" ht="18" customHeight="1">
      <c r="A9" s="310"/>
      <c r="B9" s="3617"/>
      <c r="C9" s="312"/>
      <c r="D9" s="313"/>
      <c r="E9" s="308" t="s">
        <v>1313</v>
      </c>
      <c r="F9" s="318">
        <f ca="1">INDIRECT("'数据-取费表'!w"&amp;$G$1)</f>
        <v>0.1</v>
      </c>
      <c r="G9" s="1538"/>
      <c r="H9" s="310"/>
      <c r="I9" s="3617"/>
      <c r="J9" s="312"/>
      <c r="K9" s="313"/>
      <c r="L9" s="319" t="s">
        <v>1313</v>
      </c>
      <c r="M9" s="320">
        <f ca="1">INDIRECT("'数据-取费表'!ab"&amp;$G$1)</f>
        <v>0</v>
      </c>
    </row>
    <row r="10" spans="1:37" ht="18" customHeight="1">
      <c r="A10" s="1201" t="s">
        <v>1007</v>
      </c>
      <c r="B10" s="1519" t="s">
        <v>1314</v>
      </c>
      <c r="C10" s="322">
        <f ca="1">ROUND(IF(F10="押一",C6/12*F11,IF(F10="押二",C6/12*2*F11,IF(F10="押三",C6/12*3*F11,C11*F11))),0)</f>
        <v>5</v>
      </c>
      <c r="D10" s="1520" t="s">
        <v>2799</v>
      </c>
      <c r="E10" s="319" t="s">
        <v>1315</v>
      </c>
      <c r="F10" s="1248" t="s">
        <v>3206</v>
      </c>
      <c r="G10" s="1538"/>
      <c r="H10" s="1201" t="s">
        <v>1007</v>
      </c>
      <c r="I10" s="1519" t="s">
        <v>1314</v>
      </c>
      <c r="J10" s="307">
        <f ca="1">ROUND(IF(M10="押一",J6/12*M11,IF(M10="押二",J6/12*2*M11,IF(M10="押三",J6/12*3*M11,J11*M11))),0)</f>
        <v>0</v>
      </c>
      <c r="K10" s="1520" t="s">
        <v>2798</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34907</v>
      </c>
      <c r="D13" s="1213" t="s">
        <v>1320</v>
      </c>
      <c r="E13" s="1213" t="s">
        <v>1321</v>
      </c>
      <c r="F13" s="1214">
        <f ca="1">INDIRECT("'数据-取费表'!y"&amp;$G$1)</f>
        <v>0.93</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24936</v>
      </c>
      <c r="D14" s="1499" t="s">
        <v>1323</v>
      </c>
      <c r="E14" s="1496"/>
      <c r="F14" s="325"/>
      <c r="G14" s="1538"/>
      <c r="H14" s="1113" t="s">
        <v>1003</v>
      </c>
      <c r="I14" s="308" t="s">
        <v>1324</v>
      </c>
      <c r="J14" s="24">
        <f ca="1">C29</f>
        <v>37534</v>
      </c>
      <c r="K14" s="15"/>
      <c r="L14" s="916"/>
      <c r="M14" s="917"/>
    </row>
    <row r="15" spans="1:37" s="1551" customFormat="1" ht="18" customHeight="1" thickBot="1">
      <c r="A15" s="1113" t="s">
        <v>1004</v>
      </c>
      <c r="B15" s="308" t="s">
        <v>1325</v>
      </c>
      <c r="C15" s="24">
        <f ca="1">ROUND(C14*F15,0)</f>
        <v>748</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893</v>
      </c>
      <c r="K16" s="1219" t="s">
        <v>1330</v>
      </c>
      <c r="L16" s="1220"/>
      <c r="M16" s="1204"/>
    </row>
    <row r="17" spans="1:37" s="1551" customFormat="1" ht="18" customHeight="1">
      <c r="A17" s="1113" t="s">
        <v>1295</v>
      </c>
      <c r="B17" s="308" t="s">
        <v>1331</v>
      </c>
      <c r="C17" s="24">
        <f ca="1">ROUND(F17*(F43+INDIRECT("'数据-取费表'!S"&amp;$G$1))/10000,0)</f>
        <v>1247</v>
      </c>
      <c r="D17" s="308" t="s">
        <v>1332</v>
      </c>
      <c r="E17" s="308" t="s">
        <v>1333</v>
      </c>
      <c r="F17" s="26">
        <f>'数据-取费表'!B35</f>
        <v>200</v>
      </c>
      <c r="G17" s="1550"/>
      <c r="H17" s="1113" t="s">
        <v>1003</v>
      </c>
      <c r="I17" s="308" t="s">
        <v>1334</v>
      </c>
      <c r="J17" s="2504">
        <f ca="1">ROUND(IF(AND(项目基本情况!B11="自然人",项目基本情况!B10="北京市"),J6*M17/(1+'数据-取费表'!C42),J18+J19+J20),0)</f>
        <v>330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374</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27305</v>
      </c>
      <c r="D19" s="136" t="s">
        <v>1341</v>
      </c>
      <c r="E19" s="1514"/>
      <c r="F19" s="26"/>
      <c r="G19" s="1538"/>
      <c r="H19" s="1113" t="s">
        <v>1004</v>
      </c>
      <c r="I19" s="308" t="s">
        <v>1342</v>
      </c>
      <c r="J19" s="24">
        <f ca="1">IF(K19="按租金收入计税",ROUND(J6*M19/(1+'数据-取费表'!C42),2),ROUND(C29*M19*0.7,2))</f>
        <v>315.29000000000002</v>
      </c>
      <c r="K19" s="1524" t="s">
        <v>1343</v>
      </c>
      <c r="L19" s="308" t="s">
        <v>1327</v>
      </c>
      <c r="M19" s="328">
        <f>IF(K19="按租金收入计税",'数据-取费表'!B51,'数据-取费表'!B50)</f>
        <v>1.2E-2</v>
      </c>
    </row>
    <row r="20" spans="1:37" s="1551" customFormat="1" ht="18" customHeight="1">
      <c r="A20" s="1113" t="s">
        <v>1007</v>
      </c>
      <c r="B20" s="308" t="s">
        <v>1344</v>
      </c>
      <c r="C20" s="24">
        <f ca="1">ROUND(C19*F20,0)</f>
        <v>546</v>
      </c>
      <c r="D20" s="329" t="s">
        <v>1345</v>
      </c>
      <c r="E20" s="308" t="s">
        <v>1327</v>
      </c>
      <c r="F20" s="328">
        <f>'数据-取费表'!B37</f>
        <v>0.02</v>
      </c>
      <c r="G20" s="1550"/>
      <c r="H20" s="1113" t="s">
        <v>1294</v>
      </c>
      <c r="I20" s="160" t="s">
        <v>1346</v>
      </c>
      <c r="J20" s="25">
        <f ca="1">ROUND(M20*M21/10000,2)</f>
        <v>14.6</v>
      </c>
      <c r="K20" s="330" t="s">
        <v>1347</v>
      </c>
      <c r="L20" s="308" t="s">
        <v>1348</v>
      </c>
      <c r="M20" s="331">
        <f>'数据-取费表'!B52</f>
        <v>8</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18254.57</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563</v>
      </c>
      <c r="K22" s="1498" t="s">
        <v>1355</v>
      </c>
      <c r="L22" s="308" t="s">
        <v>1327</v>
      </c>
      <c r="M22" s="334">
        <f ca="1">INDIRECT("'数据-取费表'!Ak"&amp;$G$1)</f>
        <v>1.4999999999999999E-2</v>
      </c>
    </row>
    <row r="23" spans="1:37" s="1551" customFormat="1" ht="18" customHeight="1">
      <c r="A23" s="1113" t="s">
        <v>1002</v>
      </c>
      <c r="B23" s="308" t="s">
        <v>1356</v>
      </c>
      <c r="C23" s="24">
        <f ca="1">IF('数据-取费表'!B22&lt;=1,ROUND(C19*F24*F23/2,0)+ROUND(C20*F24*F23/2,0),ROUND(C19*(POWER((1+F24),F23/2)-1),0)+ROUND(C20*(POWER((1+F24),F23/2)-1),0))</f>
        <v>1212</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ROUND(J13*M23,1)</f>
        <v>0</v>
      </c>
      <c r="K23" s="1498" t="s">
        <v>1359</v>
      </c>
      <c r="L23" s="308" t="s">
        <v>1360</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8.9999999999999998E-4</v>
      </c>
      <c r="D24" s="335" t="str">
        <f>IF(F23&lt;=1,"销售费用×利率×(建设周期÷2)","销售费用×((1+利率)^(建设周期÷2)-1)")</f>
        <v>销售费用×((1+利率)^(建设周期÷2)-1)</v>
      </c>
      <c r="E24" s="308" t="s">
        <v>1363</v>
      </c>
      <c r="F24" s="337">
        <f ca="1">'数据-取费表'!B40</f>
        <v>4.3499999999999997E-2</v>
      </c>
      <c r="G24" s="1550"/>
      <c r="H24" s="1221" t="s">
        <v>1298</v>
      </c>
      <c r="I24" s="1222" t="s">
        <v>1344</v>
      </c>
      <c r="J24" s="1223">
        <f ca="1">ROUND(J5*M24,1)</f>
        <v>0</v>
      </c>
      <c r="K24" s="1224" t="s">
        <v>1364</v>
      </c>
      <c r="L24" s="1222" t="s">
        <v>1360</v>
      </c>
      <c r="M24" s="1218">
        <f ca="1">INDIRECT("'数据-取费表'!Am"&amp;$G$1)</f>
        <v>0.02</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-893</v>
      </c>
      <c r="K25" s="1227" t="s">
        <v>1369</v>
      </c>
      <c r="L25" s="1228"/>
      <c r="M25" s="1229"/>
    </row>
    <row r="26" spans="1:37">
      <c r="A26" s="1113" t="s">
        <v>1002</v>
      </c>
      <c r="B26" s="308" t="s">
        <v>1370</v>
      </c>
      <c r="C26" s="24">
        <f ca="1">ROUND((C19+C20)*F26,0)</f>
        <v>5570</v>
      </c>
      <c r="D26" s="329" t="s">
        <v>1371</v>
      </c>
      <c r="E26" s="319" t="s">
        <v>1372</v>
      </c>
      <c r="F26" s="318">
        <f ca="1">INDIRECT("'数据-取费表'!q"&amp;$G$1)</f>
        <v>0.2</v>
      </c>
      <c r="G26" s="1538"/>
      <c r="H26" s="305" t="s">
        <v>1000</v>
      </c>
      <c r="I26" s="306" t="s">
        <v>1373</v>
      </c>
      <c r="J26" s="307">
        <f ca="1">IF(J5&lt;&gt;0,ROUND(J25*(1-((1+M28)/(1+M26))^M27)/(M26-M28),0),0)</f>
        <v>0</v>
      </c>
      <c r="K26" s="330" t="s">
        <v>1374</v>
      </c>
      <c r="L26" s="308" t="s">
        <v>1375</v>
      </c>
      <c r="M26" s="318">
        <f ca="1">INDIRECT("'数据-取费表'!I"&amp;$G$1)</f>
        <v>0.06</v>
      </c>
    </row>
    <row r="27" spans="1:37" ht="18" customHeight="1">
      <c r="A27" s="1113" t="s">
        <v>1004</v>
      </c>
      <c r="B27" s="308" t="s">
        <v>1376</v>
      </c>
      <c r="C27" s="24">
        <f ca="1">ROUND(F21*F26,4)</f>
        <v>4.0000000000000001E-3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37534</v>
      </c>
      <c r="D29" s="1224"/>
      <c r="E29" s="1222"/>
      <c r="F29" s="1225"/>
      <c r="G29" s="1550"/>
      <c r="H29" s="340" t="s">
        <v>1001</v>
      </c>
      <c r="I29" s="341" t="s">
        <v>1384</v>
      </c>
      <c r="J29" s="342">
        <f ca="1">ROUND(J26/(1+F40)^F41,0)</f>
        <v>0</v>
      </c>
      <c r="K29" s="343" t="s">
        <v>1385</v>
      </c>
      <c r="L29" s="344"/>
      <c r="M29" s="345">
        <f ca="1">INDIRECT("'数据-取费表'!k"&amp;$G$1)</f>
        <v>62340.200000000004</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1370</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675</v>
      </c>
      <c r="D31" s="1499" t="s">
        <v>1335</v>
      </c>
      <c r="E31" s="1498" t="s">
        <v>1386</v>
      </c>
      <c r="F31" s="2503" t="str">
        <f>IF(项目基本情况!B11="企业","——",IF('数据-取费表'!B10="住宅",IF(F6*F7*F8/12/(1+'数据-取费表'!F30)&gt;100000,4%,2.5%),IF(F6*F7*F8/12/(1+'数据-取费表'!F30)&gt;100000,12%,7%)))</f>
        <v>——</v>
      </c>
      <c r="G31" s="1538"/>
      <c r="H31" s="3009" t="s">
        <v>2998</v>
      </c>
      <c r="I31" s="1552"/>
      <c r="J31" s="1553"/>
      <c r="K31" s="2671"/>
      <c r="L31" s="2897"/>
      <c r="M31" s="2898"/>
    </row>
    <row r="32" spans="1:37" ht="18" customHeight="1">
      <c r="A32" s="1113" t="s">
        <v>1002</v>
      </c>
      <c r="B32" s="308" t="s">
        <v>1338</v>
      </c>
      <c r="C32" s="24">
        <f ca="1">IF(项目基本情况!B11="自然人","——",ROUND(C6*F32/(1+'数据-取费表'!C42),2))</f>
        <v>207.43</v>
      </c>
      <c r="D32" s="1498" t="s">
        <v>1339</v>
      </c>
      <c r="E32" s="308" t="s">
        <v>1327</v>
      </c>
      <c r="F32" s="337">
        <f>'数据-取费表'!B41</f>
        <v>5.5000000000000007E-2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IF(项目基本情况!B11="自然人","——",IF(D33="按租金收入计税",ROUND(C6*F33/(1+'数据-取费表'!C42),2),IF(D33="按房产原值计税",ROUND(C29*F33*0.7,2),INDIRECT("'数据-取费表'!Aj"&amp;$G$1))))</f>
        <v>452.57</v>
      </c>
      <c r="D33" s="1524" t="s">
        <v>3205</v>
      </c>
      <c r="E33" s="308" t="s">
        <v>1327</v>
      </c>
      <c r="F33" s="328">
        <f>IF(D33="按票据","——",IF(D33="按租金收入计税",'数据-取费表'!B51,'数据-取费表'!B50))</f>
        <v>0.12</v>
      </c>
      <c r="G33" s="1538"/>
      <c r="H33" s="2899"/>
      <c r="I33" s="1552"/>
      <c r="J33" s="1553"/>
      <c r="K33" s="2900"/>
      <c r="L33" s="2899"/>
      <c r="M33" s="2899"/>
    </row>
    <row r="34" spans="1:18" ht="18" customHeight="1">
      <c r="A34" s="1201" t="s">
        <v>1294</v>
      </c>
      <c r="B34" s="160" t="s">
        <v>1346</v>
      </c>
      <c r="C34" s="25">
        <f ca="1">IF(项目基本情况!B11="自然人","——",ROUND(F34*F35/10000,2))</f>
        <v>14.6</v>
      </c>
      <c r="D34" s="330" t="s">
        <v>1347</v>
      </c>
      <c r="E34" s="308" t="s">
        <v>1348</v>
      </c>
      <c r="F34" s="331">
        <f>'数据-取费表'!B52</f>
        <v>8</v>
      </c>
      <c r="G34" s="1538"/>
      <c r="H34" s="2896"/>
      <c r="I34" s="1552"/>
      <c r="J34" s="1553"/>
      <c r="K34" s="2901"/>
      <c r="L34" s="2902"/>
      <c r="M34" s="2902"/>
    </row>
    <row r="35" spans="1:18" ht="18" customHeight="1">
      <c r="A35" s="1235"/>
      <c r="B35" s="1233"/>
      <c r="C35" s="29"/>
      <c r="D35" s="333"/>
      <c r="E35" s="308" t="s">
        <v>1352</v>
      </c>
      <c r="F35" s="309">
        <f ca="1">INDIRECT("'数据-取费表'!r"&amp;$G$1)</f>
        <v>18254.57</v>
      </c>
      <c r="G35" s="1538"/>
      <c r="H35" s="2896"/>
      <c r="I35" s="1552"/>
      <c r="J35" s="1553"/>
      <c r="K35" s="2900"/>
      <c r="L35" s="2899"/>
      <c r="M35" s="2899"/>
    </row>
    <row r="36" spans="1:18" ht="18" customHeight="1">
      <c r="A36" s="1234" t="s">
        <v>1007</v>
      </c>
      <c r="B36" s="308" t="s">
        <v>1354</v>
      </c>
      <c r="C36" s="24">
        <f ca="1">ROUND(C29*F36,1)</f>
        <v>563</v>
      </c>
      <c r="D36" s="1498" t="s">
        <v>1387</v>
      </c>
      <c r="E36" s="308" t="s">
        <v>1327</v>
      </c>
      <c r="F36" s="334">
        <f ca="1">INDIRECT("'数据-取费表'!Ak"&amp;$G$1)</f>
        <v>1.4999999999999999E-2</v>
      </c>
      <c r="G36" s="1538"/>
      <c r="H36" s="2899"/>
      <c r="I36" s="1552"/>
      <c r="J36" s="1553"/>
      <c r="K36" s="2740"/>
      <c r="L36" s="2899"/>
      <c r="M36" s="2899"/>
    </row>
    <row r="37" spans="1:18" ht="18" customHeight="1">
      <c r="A37" s="1113" t="s">
        <v>1043</v>
      </c>
      <c r="B37" s="308" t="s">
        <v>1358</v>
      </c>
      <c r="C37" s="24">
        <f ca="1">ROUND(C13*F37,1)</f>
        <v>52.4</v>
      </c>
      <c r="D37" s="1498" t="s">
        <v>1359</v>
      </c>
      <c r="E37" s="308" t="s">
        <v>1360</v>
      </c>
      <c r="F37" s="336">
        <f ca="1">INDIRECT("'数据-取费表'!Al"&amp;$G$1)</f>
        <v>1.5E-3</v>
      </c>
      <c r="G37" s="1538"/>
      <c r="H37" s="2899"/>
      <c r="I37" s="1552"/>
      <c r="J37" s="1553"/>
      <c r="K37" s="2740"/>
      <c r="L37" s="2899"/>
      <c r="M37" s="2899"/>
    </row>
    <row r="38" spans="1:18" ht="18" customHeight="1" thickBot="1">
      <c r="A38" s="1221" t="s">
        <v>1298</v>
      </c>
      <c r="B38" s="1222" t="s">
        <v>1344</v>
      </c>
      <c r="C38" s="1223">
        <f ca="1">ROUND(C5*F38,1)</f>
        <v>79.3</v>
      </c>
      <c r="D38" s="1224" t="s">
        <v>1364</v>
      </c>
      <c r="E38" s="1222" t="s">
        <v>1360</v>
      </c>
      <c r="F38" s="1218">
        <f ca="1">INDIRECT("'数据-取费表'!Am"&amp;$G$1)</f>
        <v>0.02</v>
      </c>
      <c r="G38" s="1538"/>
      <c r="H38" s="2899"/>
      <c r="I38" s="1552"/>
      <c r="J38" s="1553"/>
      <c r="K38" s="2903"/>
      <c r="L38" s="2899"/>
      <c r="M38" s="2899"/>
    </row>
    <row r="39" spans="1:18" ht="24.6" customHeight="1" thickTop="1">
      <c r="A39" s="1211" t="s">
        <v>999</v>
      </c>
      <c r="B39" s="1226" t="s">
        <v>1388</v>
      </c>
      <c r="C39" s="316">
        <f ca="1">C5-C30</f>
        <v>2595</v>
      </c>
      <c r="D39" s="1227" t="s">
        <v>1389</v>
      </c>
      <c r="E39" s="1228"/>
      <c r="F39" s="1229"/>
      <c r="G39" s="1538"/>
      <c r="H39" s="2899"/>
      <c r="I39" s="1552"/>
      <c r="J39" s="1553"/>
      <c r="K39" s="2903"/>
      <c r="L39" s="2899"/>
      <c r="M39" s="2899"/>
    </row>
    <row r="40" spans="1:18" ht="18" customHeight="1">
      <c r="A40" s="305" t="s">
        <v>1000</v>
      </c>
      <c r="B40" s="306" t="s">
        <v>1390</v>
      </c>
      <c r="C40" s="307">
        <f ca="1">ROUND(C39*(1-((1+F42)/(1+F40))^F41)/(F40-F42),0)</f>
        <v>44446</v>
      </c>
      <c r="D40" s="330" t="s">
        <v>1374</v>
      </c>
      <c r="E40" s="308" t="s">
        <v>1375</v>
      </c>
      <c r="F40" s="318">
        <f ca="1">INDIRECT("'数据-取费表'!I"&amp;$G$1)</f>
        <v>0.06</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30.04</v>
      </c>
      <c r="G41" s="1538"/>
      <c r="H41" s="1325"/>
      <c r="I41" s="1552"/>
      <c r="J41" s="1553"/>
      <c r="K41" s="2740"/>
      <c r="L41" s="1325"/>
      <c r="M41" s="1325"/>
    </row>
    <row r="42" spans="1:18" ht="18" customHeight="1">
      <c r="A42" s="314"/>
      <c r="B42" s="315"/>
      <c r="C42" s="316"/>
      <c r="D42" s="333"/>
      <c r="E42" s="308" t="s">
        <v>1382</v>
      </c>
      <c r="F42" s="318">
        <f ca="1">INDIRECT("'数据-取费表'!v"&amp;$G$1)</f>
        <v>0.02</v>
      </c>
      <c r="G42" s="1538"/>
      <c r="H42" s="1325"/>
      <c r="I42" s="1552"/>
      <c r="J42" s="1553"/>
      <c r="K42" s="2740"/>
      <c r="L42" s="1325"/>
      <c r="M42" s="1325"/>
    </row>
    <row r="43" spans="1:18" ht="18" customHeight="1" thickBot="1">
      <c r="A43" s="340" t="s">
        <v>1001</v>
      </c>
      <c r="B43" s="341" t="s">
        <v>1392</v>
      </c>
      <c r="C43" s="342">
        <f ca="1">ROUND(C40*10000/F43,0)</f>
        <v>7130</v>
      </c>
      <c r="D43" s="343" t="s">
        <v>1393</v>
      </c>
      <c r="E43" s="344" t="s">
        <v>1394</v>
      </c>
      <c r="F43" s="345">
        <f ca="1">INDIRECT("'数据-取费表'!k"&amp;$G$1)</f>
        <v>62340.200000000004</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1424</v>
      </c>
      <c r="P45" s="1615"/>
      <c r="Q45" s="1615"/>
      <c r="R45" s="1615"/>
    </row>
    <row r="46" spans="1:18" s="1538" customFormat="1" ht="13.5" thickBot="1">
      <c r="A46" s="1558" t="s">
        <v>1425</v>
      </c>
      <c r="C46" s="1559">
        <f ca="1">C68-C40</f>
        <v>-96530</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3203</v>
      </c>
      <c r="K47" s="1570" t="s">
        <v>1432</v>
      </c>
      <c r="L47" s="1571">
        <f ca="1">INDIRECT("'数据-取费表'!d"&amp;$G$1)</f>
        <v>40</v>
      </c>
      <c r="M47" s="1534" t="str">
        <f>IF(ISNUMBER(FIND("住宅",C1)),"住宅","非住宅")</f>
        <v>非住宅</v>
      </c>
      <c r="O47" s="1572" t="s">
        <v>1008</v>
      </c>
      <c r="P47" s="1573" t="s">
        <v>1433</v>
      </c>
      <c r="Q47" s="1574">
        <f ca="1">C40+J29</f>
        <v>44446</v>
      </c>
      <c r="R47" s="1574" t="s">
        <v>1434</v>
      </c>
    </row>
    <row r="48" spans="1:18" s="1538" customFormat="1" ht="28.5" thickBot="1">
      <c r="A48" s="1242" t="s">
        <v>1044</v>
      </c>
      <c r="B48" s="306" t="s">
        <v>1306</v>
      </c>
      <c r="C48" s="1513">
        <f ca="1">C49+C53+C55</f>
        <v>0</v>
      </c>
      <c r="D48" s="1244"/>
      <c r="E48" s="1245"/>
      <c r="F48" s="1093"/>
      <c r="G48" s="731"/>
      <c r="H48" s="732"/>
      <c r="I48" s="1575" t="s">
        <v>1435</v>
      </c>
      <c r="J48" s="1576" t="s">
        <v>3204</v>
      </c>
      <c r="K48" s="1577" t="s">
        <v>1436</v>
      </c>
      <c r="L48" s="1578">
        <f ca="1">INDIRECT("'数据-取费表'!f"&amp;$G$1)</f>
        <v>30.04</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2792</v>
      </c>
      <c r="E49" s="1526" t="s">
        <v>1396</v>
      </c>
      <c r="F49" s="1191"/>
      <c r="G49" s="1579"/>
      <c r="H49" s="732"/>
      <c r="I49" s="1575" t="s">
        <v>1439</v>
      </c>
      <c r="J49" s="1580">
        <v>2017</v>
      </c>
      <c r="K49" s="1577" t="s">
        <v>1440</v>
      </c>
      <c r="L49" s="1581"/>
      <c r="O49" s="1582" t="s">
        <v>1010</v>
      </c>
      <c r="P49" s="1573" t="s">
        <v>1441</v>
      </c>
      <c r="Q49" s="1574">
        <f ca="1">C29</f>
        <v>37534</v>
      </c>
      <c r="R49" s="1574" t="s">
        <v>1434</v>
      </c>
    </row>
    <row r="50" spans="1:18" s="1538" customFormat="1" ht="13.5" thickBot="1">
      <c r="A50" s="1107"/>
      <c r="B50" s="1110"/>
      <c r="C50" s="1250"/>
      <c r="D50" s="1084"/>
      <c r="E50" s="1187" t="s">
        <v>1311</v>
      </c>
      <c r="F50" s="1188">
        <f ca="1">F7</f>
        <v>1</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1</v>
      </c>
      <c r="I51" s="1586" t="s">
        <v>1445</v>
      </c>
      <c r="J51" s="1587">
        <f>IF(J49="",J50,J49+J50-YEAR('数据-取费表'!B2))</f>
        <v>56</v>
      </c>
      <c r="K51" s="1588" t="s">
        <v>1446</v>
      </c>
      <c r="L51" s="1589">
        <f ca="1">ROUND(-PV(INDIRECT("'数据-取费表'!h"&amp;$G$1),J51,(C39-C13*C76),0),0)</f>
        <v>-398</v>
      </c>
      <c r="M51" s="1590"/>
      <c r="O51" s="1582" t="s">
        <v>1012</v>
      </c>
      <c r="P51" s="1573" t="s">
        <v>1447</v>
      </c>
      <c r="Q51" s="1585">
        <f>J52</f>
        <v>0.08</v>
      </c>
      <c r="R51" s="1574"/>
    </row>
    <row r="52" spans="1:18" s="1538" customFormat="1" ht="13.5" thickBot="1">
      <c r="A52" s="1108"/>
      <c r="B52" s="1110"/>
      <c r="C52" s="1111"/>
      <c r="D52" s="1084"/>
      <c r="E52" s="1112" t="s">
        <v>1313</v>
      </c>
      <c r="F52" s="1185"/>
      <c r="I52" s="1591" t="s">
        <v>1448</v>
      </c>
      <c r="J52" s="1592">
        <v>0.08</v>
      </c>
      <c r="K52" s="1591" t="s">
        <v>1449</v>
      </c>
      <c r="L52" s="1592"/>
      <c r="O52" s="1582" t="s">
        <v>1013</v>
      </c>
      <c r="P52" s="1573" t="s">
        <v>1450</v>
      </c>
      <c r="Q52" s="1574">
        <f ca="1">J53</f>
        <v>30.04</v>
      </c>
      <c r="R52" s="1574" t="s">
        <v>1451</v>
      </c>
    </row>
    <row r="53" spans="1:18" s="1538" customFormat="1" ht="24.75" thickBot="1">
      <c r="A53" s="1286" t="s">
        <v>1046</v>
      </c>
      <c r="B53" s="1527" t="s">
        <v>1314</v>
      </c>
      <c r="C53" s="322">
        <f ca="1">ROUND(IF(F53="押一",C49/12*F11,IF(F53="押二",C49/12*2*F11,IF(F53="押三",C49/12*3*F11,C54*F11))),0)</f>
        <v>0</v>
      </c>
      <c r="D53" s="1520" t="s">
        <v>2798</v>
      </c>
      <c r="E53" s="319" t="s">
        <v>1315</v>
      </c>
      <c r="F53" s="1248"/>
      <c r="I53" s="1593" t="s">
        <v>1452</v>
      </c>
      <c r="J53" s="2356">
        <f ca="1">IF(M47="住宅",IF(D1="——",MAX(J51,L48),MAX(J51,L48-'数据-取费表'!B24)),IF(D1="——",MIN(J51,L48),MIN(J51,L48-'数据-取费表'!B24)))</f>
        <v>30.04</v>
      </c>
      <c r="K53" s="3613" t="s">
        <v>1453</v>
      </c>
      <c r="L53" s="3614"/>
      <c r="O53" s="1572" t="s">
        <v>1014</v>
      </c>
      <c r="P53" s="1573" t="s">
        <v>1454</v>
      </c>
      <c r="Q53" s="1574">
        <f ca="1">Q47+Q48</f>
        <v>44446</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34907</v>
      </c>
      <c r="D56" s="1601"/>
      <c r="E56" s="1602"/>
      <c r="F56" s="1594"/>
      <c r="I56" s="1603" t="s">
        <v>1459</v>
      </c>
      <c r="J56" s="1604" t="s">
        <v>3199</v>
      </c>
      <c r="K56" s="1575" t="s">
        <v>1460</v>
      </c>
      <c r="L56" s="1578" t="str">
        <f ca="1">IF(L48&lt;J51,"——",L48-J53)</f>
        <v>——</v>
      </c>
      <c r="O56" s="1572" t="s">
        <v>1008</v>
      </c>
      <c r="P56" s="1573" t="s">
        <v>1433</v>
      </c>
      <c r="Q56" s="1574">
        <f ca="1">C40+J29</f>
        <v>44446</v>
      </c>
      <c r="R56" s="1574" t="s">
        <v>1434</v>
      </c>
    </row>
    <row r="57" spans="1:18" s="1538" customFormat="1" ht="24.75" thickBot="1">
      <c r="A57" s="1605"/>
      <c r="B57" s="1081" t="s">
        <v>1383</v>
      </c>
      <c r="C57" s="244">
        <f ca="1">C29</f>
        <v>37534</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3782</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3167</v>
      </c>
      <c r="D59" s="1094" t="s">
        <v>1335</v>
      </c>
      <c r="E59" s="1095" t="s">
        <v>1336</v>
      </c>
      <c r="F59" s="2503"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3152.86</v>
      </c>
      <c r="D61" s="1524" t="s">
        <v>1343</v>
      </c>
      <c r="E61" s="1081" t="s">
        <v>1399</v>
      </c>
      <c r="F61" s="328">
        <f t="shared" si="0"/>
        <v>0.12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14.6</v>
      </c>
      <c r="D62" s="1096" t="s">
        <v>1402</v>
      </c>
      <c r="E62" s="1081" t="s">
        <v>1403</v>
      </c>
      <c r="F62" s="331">
        <f t="shared" si="0"/>
        <v>8</v>
      </c>
      <c r="I62" s="1616" t="s">
        <v>1475</v>
      </c>
      <c r="J62" s="1617" t="s">
        <v>1476</v>
      </c>
      <c r="K62" s="1617" t="s">
        <v>1477</v>
      </c>
      <c r="L62" s="1617" t="s">
        <v>1478</v>
      </c>
      <c r="M62" s="1618" t="s">
        <v>1479</v>
      </c>
      <c r="O62" s="1572" t="s">
        <v>1014</v>
      </c>
      <c r="P62" s="1573" t="s">
        <v>1480</v>
      </c>
      <c r="Q62" s="1574">
        <f ca="1">Q56+Q57</f>
        <v>44446</v>
      </c>
      <c r="R62" s="1574" t="s">
        <v>1015</v>
      </c>
    </row>
    <row r="63" spans="1:18" s="1538" customFormat="1" ht="13.5" thickBot="1">
      <c r="A63" s="332"/>
      <c r="B63" s="1087"/>
      <c r="C63" s="29"/>
      <c r="D63" s="1097"/>
      <c r="E63" s="1081" t="s">
        <v>1404</v>
      </c>
      <c r="F63" s="309">
        <f t="shared" ca="1" si="0"/>
        <v>18254.57</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563</v>
      </c>
      <c r="D64" s="1095" t="s">
        <v>1407</v>
      </c>
      <c r="E64" s="1081" t="s">
        <v>1399</v>
      </c>
      <c r="F64" s="334">
        <f t="shared" ca="1" si="0"/>
        <v>1.4999999999999999E-2</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52.4</v>
      </c>
      <c r="D65" s="1095" t="s">
        <v>1359</v>
      </c>
      <c r="E65" s="1081" t="s">
        <v>1360</v>
      </c>
      <c r="F65" s="336">
        <f t="shared" ca="1" si="0"/>
        <v>1.5E-3</v>
      </c>
      <c r="I65" s="1616" t="s">
        <v>1484</v>
      </c>
      <c r="J65" s="1617">
        <v>40</v>
      </c>
      <c r="K65" s="1617">
        <v>30</v>
      </c>
      <c r="L65" s="1617">
        <v>50</v>
      </c>
      <c r="M65" s="1619">
        <v>0.02</v>
      </c>
      <c r="O65" s="1572" t="s">
        <v>1008</v>
      </c>
      <c r="P65" s="1573" t="s">
        <v>1485</v>
      </c>
      <c r="Q65" s="1574">
        <f ca="1">C40+J29</f>
        <v>44446</v>
      </c>
      <c r="R65" s="1574" t="s">
        <v>1434</v>
      </c>
    </row>
    <row r="66" spans="1:18" s="1538" customFormat="1" ht="16.5" thickBot="1">
      <c r="A66" s="1113" t="s">
        <v>1409</v>
      </c>
      <c r="B66" s="1081" t="s">
        <v>1344</v>
      </c>
      <c r="C66" s="24">
        <f ca="1">ROUND(C48*F66,1)</f>
        <v>0</v>
      </c>
      <c r="D66" s="1095" t="s">
        <v>1410</v>
      </c>
      <c r="E66" s="1081" t="s">
        <v>1327</v>
      </c>
      <c r="F66" s="318">
        <f t="shared" ca="1" si="0"/>
        <v>0.02</v>
      </c>
      <c r="O66" s="1572" t="s">
        <v>1009</v>
      </c>
      <c r="P66" s="1573" t="s">
        <v>1463</v>
      </c>
      <c r="Q66" s="1574">
        <f ca="1">L60</f>
        <v>0</v>
      </c>
      <c r="R66" s="1574" t="s">
        <v>1486</v>
      </c>
    </row>
    <row r="67" spans="1:18" s="1538" customFormat="1" ht="16.5" thickBot="1">
      <c r="A67" s="1088" t="s">
        <v>999</v>
      </c>
      <c r="B67" s="1098" t="s">
        <v>1368</v>
      </c>
      <c r="C67" s="322">
        <f ca="1">C48-C58</f>
        <v>-3782</v>
      </c>
      <c r="D67" s="1094" t="s">
        <v>1369</v>
      </c>
      <c r="E67" s="1099"/>
      <c r="F67" s="1100"/>
      <c r="O67" s="1582" t="s">
        <v>1010</v>
      </c>
      <c r="P67" s="1573" t="s">
        <v>1467</v>
      </c>
      <c r="Q67" s="1620">
        <f ca="1">L51</f>
        <v>-398</v>
      </c>
      <c r="R67" s="1574" t="s">
        <v>1487</v>
      </c>
    </row>
    <row r="68" spans="1:18" s="1538" customFormat="1" ht="16.5" thickBot="1">
      <c r="A68" s="1078" t="s">
        <v>1000</v>
      </c>
      <c r="B68" s="1079" t="s">
        <v>1390</v>
      </c>
      <c r="C68" s="307">
        <f ca="1">ROUND(C67*(1-((1+F70)/(1+F68))^F69)/(F68-F70),0)</f>
        <v>-52084</v>
      </c>
      <c r="D68" s="1096" t="s">
        <v>1374</v>
      </c>
      <c r="E68" s="1081" t="s">
        <v>1375</v>
      </c>
      <c r="F68" s="318">
        <f ca="1">F40</f>
        <v>0.06</v>
      </c>
      <c r="O68" s="1582" t="s">
        <v>1011</v>
      </c>
      <c r="P68" s="1621" t="s">
        <v>1488</v>
      </c>
      <c r="Q68" s="1574">
        <f ca="1">ROUND(Q69-Q70*Q71,0)</f>
        <v>-23</v>
      </c>
      <c r="R68" s="1574" t="s">
        <v>1019</v>
      </c>
    </row>
    <row r="69" spans="1:18" s="1538" customFormat="1" ht="13.5" thickBot="1">
      <c r="A69" s="1082"/>
      <c r="B69" s="1083"/>
      <c r="C69" s="312"/>
      <c r="D69" s="1101" t="s">
        <v>1378</v>
      </c>
      <c r="E69" s="1081" t="s">
        <v>1379</v>
      </c>
      <c r="F69" s="339">
        <f ca="1">F41</f>
        <v>30.04</v>
      </c>
      <c r="O69" s="1582" t="s">
        <v>1016</v>
      </c>
      <c r="P69" s="1621" t="s">
        <v>1489</v>
      </c>
      <c r="Q69" s="1574">
        <f ca="1">C39</f>
        <v>2595</v>
      </c>
      <c r="R69" s="1574" t="s">
        <v>1434</v>
      </c>
    </row>
    <row r="70" spans="1:18" s="1538" customFormat="1" ht="13.5" thickBot="1">
      <c r="A70" s="1085"/>
      <c r="B70" s="1086"/>
      <c r="C70" s="316"/>
      <c r="D70" s="1097"/>
      <c r="E70" s="1081" t="s">
        <v>1382</v>
      </c>
      <c r="F70" s="1185"/>
      <c r="O70" s="1582" t="s">
        <v>1017</v>
      </c>
      <c r="P70" s="1621" t="s">
        <v>1490</v>
      </c>
      <c r="Q70" s="1574">
        <f ca="1">C13</f>
        <v>34907</v>
      </c>
      <c r="R70" s="1574" t="s">
        <v>1434</v>
      </c>
    </row>
    <row r="71" spans="1:18" s="1538" customFormat="1" ht="13.5" thickBot="1">
      <c r="A71" s="1102" t="s">
        <v>1001</v>
      </c>
      <c r="B71" s="1103" t="s">
        <v>1392</v>
      </c>
      <c r="C71" s="342">
        <f ca="1">ROUND(C68*10000/F71,0)</f>
        <v>-8355</v>
      </c>
      <c r="D71" s="1104" t="s">
        <v>1393</v>
      </c>
      <c r="E71" s="1105" t="s">
        <v>1394</v>
      </c>
      <c r="F71" s="345">
        <f ca="1">F43</f>
        <v>62340.200000000004</v>
      </c>
      <c r="O71" s="1582" t="s">
        <v>1018</v>
      </c>
      <c r="P71" s="1621" t="s">
        <v>1491</v>
      </c>
      <c r="Q71" s="1585">
        <f ca="1">C76</f>
        <v>7.4999999999999997E-2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2618</v>
      </c>
      <c r="D75" s="1538"/>
      <c r="E75" s="1538"/>
      <c r="F75" s="1538"/>
      <c r="K75" s="1556"/>
      <c r="L75" s="1538"/>
      <c r="O75" s="1572" t="s">
        <v>1014</v>
      </c>
      <c r="P75" s="1573" t="s">
        <v>1454</v>
      </c>
      <c r="Q75" s="1574">
        <f ca="1">Q65+Q66</f>
        <v>44446</v>
      </c>
      <c r="R75" s="1574" t="s">
        <v>1015</v>
      </c>
    </row>
    <row r="76" spans="1:18">
      <c r="B76" s="348" t="s">
        <v>1412</v>
      </c>
      <c r="C76" s="349">
        <f ca="1">INDIRECT("'数据-取费表'!j"&amp;$G$1)</f>
        <v>7.4999999999999997E-2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-8.999999999999897E-3</v>
      </c>
    </row>
    <row r="80" spans="1:18">
      <c r="B80" s="346" t="s">
        <v>1416</v>
      </c>
      <c r="C80" s="280">
        <f ca="1">ROUND(C75/C39,3)</f>
        <v>1.0089999999999999</v>
      </c>
    </row>
    <row r="81" spans="2:3">
      <c r="B81" s="276" t="s">
        <v>1417</v>
      </c>
      <c r="C81" s="244"/>
    </row>
    <row r="82" spans="2:3">
      <c r="B82" s="279" t="s">
        <v>1418</v>
      </c>
      <c r="C82" s="281">
        <f ca="1">1-C83</f>
        <v>0.21499999999999997</v>
      </c>
    </row>
    <row r="83" spans="2:3">
      <c r="B83" s="279" t="s">
        <v>1419</v>
      </c>
      <c r="C83" s="280">
        <f ca="1">ROUND(C13/C40,3)</f>
        <v>0.78500000000000003</v>
      </c>
    </row>
  </sheetData>
  <sheetProtection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5" sqref="I3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27</v>
      </c>
      <c r="D1" s="1516"/>
      <c r="E1" s="1517" t="s">
        <v>1292</v>
      </c>
      <c r="F1" s="1193">
        <f ca="1">J53</f>
        <v>30.04</v>
      </c>
      <c r="G1" s="1532">
        <f>MATCH(C1,'数据-取费表'!A6:A16,0)+5</f>
        <v>7</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3021</v>
      </c>
      <c r="C2" s="1541" t="s">
        <v>1421</v>
      </c>
      <c r="D2" s="1541"/>
      <c r="E2" s="1542"/>
      <c r="F2" s="1543"/>
      <c r="G2" s="2905"/>
      <c r="H2" s="2894"/>
      <c r="I2" s="2894"/>
      <c r="J2" s="2894"/>
      <c r="K2" s="2895"/>
      <c r="L2" s="2894"/>
      <c r="M2" s="2894"/>
    </row>
    <row r="3" spans="1:37" ht="18" customHeight="1" thickBot="1">
      <c r="A3" s="1544" t="s">
        <v>1422</v>
      </c>
      <c r="B3" s="1545">
        <f ca="1">IF(ISERROR(B2*10000/F43),0,ROUND(B2*10000/F43,0))</f>
        <v>3997</v>
      </c>
      <c r="C3" s="1541" t="s">
        <v>1423</v>
      </c>
      <c r="D3" s="1541"/>
      <c r="E3" s="1542"/>
      <c r="F3" s="1543"/>
      <c r="G3" s="2905"/>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298</v>
      </c>
      <c r="D5" s="1518" t="s">
        <v>1307</v>
      </c>
      <c r="E5" s="1203"/>
      <c r="F5" s="1204"/>
      <c r="G5" s="1538"/>
      <c r="H5" s="305">
        <v>1</v>
      </c>
      <c r="I5" s="306" t="s">
        <v>1306</v>
      </c>
      <c r="J5" s="1202">
        <f ca="1">J6+J10+J12</f>
        <v>0</v>
      </c>
      <c r="K5" s="1518" t="s">
        <v>1307</v>
      </c>
      <c r="L5" s="1203"/>
      <c r="M5" s="1204"/>
    </row>
    <row r="6" spans="1:37" ht="18" customHeight="1">
      <c r="A6" s="1201" t="s">
        <v>1003</v>
      </c>
      <c r="B6" s="3615" t="s">
        <v>1308</v>
      </c>
      <c r="C6" s="1206">
        <f ca="1">ROUND(F6*F8*F7*(1-F9)/10000,0)</f>
        <v>298</v>
      </c>
      <c r="D6" s="160" t="s">
        <v>2791</v>
      </c>
      <c r="E6" s="308" t="s">
        <v>1310</v>
      </c>
      <c r="F6" s="309">
        <f ca="1">INDIRECT("'数据-取费表'!u"&amp;$G$1)</f>
        <v>1.2</v>
      </c>
      <c r="G6" s="1538"/>
      <c r="H6" s="1201" t="s">
        <v>1003</v>
      </c>
      <c r="I6" s="3615" t="s">
        <v>1308</v>
      </c>
      <c r="J6" s="307">
        <f ca="1">ROUND(M6*M8*M7*(1-M9)/10000,0)</f>
        <v>0</v>
      </c>
      <c r="K6" s="160" t="s">
        <v>2790</v>
      </c>
      <c r="L6" s="308" t="s">
        <v>1310</v>
      </c>
      <c r="M6" s="309">
        <f ca="1">INDIRECT("'数据-取费表'!z"&amp;$G$1)</f>
        <v>0</v>
      </c>
    </row>
    <row r="7" spans="1:37" ht="18" customHeight="1">
      <c r="A7" s="1205"/>
      <c r="B7" s="3616"/>
      <c r="C7" s="1207"/>
      <c r="D7" s="313"/>
      <c r="E7" s="3214" t="s">
        <v>1311</v>
      </c>
      <c r="F7" s="309">
        <f ca="1">IF(INDIRECT("'数据-取费表'!ah"&amp;$G$1)="",INDIRECT("'数据-取费表'!k"&amp;$G$1),INDIRECT("'数据-取费表'!ah"&amp;$G$1))</f>
        <v>7558.7</v>
      </c>
      <c r="G7" s="1538"/>
      <c r="H7" s="310"/>
      <c r="I7" s="3616"/>
      <c r="J7" s="312"/>
      <c r="K7" s="313"/>
      <c r="L7" s="308" t="s">
        <v>1311</v>
      </c>
      <c r="M7" s="309">
        <f ca="1">F7</f>
        <v>7558.7</v>
      </c>
    </row>
    <row r="8" spans="1:37" ht="18" customHeight="1">
      <c r="A8" s="310"/>
      <c r="B8" s="3616"/>
      <c r="C8" s="312"/>
      <c r="D8" s="313"/>
      <c r="E8" s="308" t="s">
        <v>1312</v>
      </c>
      <c r="F8" s="309">
        <f ca="1">INDIRECT("'数据-取费表'!ai"&amp;$G$1)</f>
        <v>365</v>
      </c>
      <c r="G8" s="1538"/>
      <c r="H8" s="310"/>
      <c r="I8" s="3616"/>
      <c r="J8" s="312"/>
      <c r="K8" s="313"/>
      <c r="L8" s="308" t="s">
        <v>1312</v>
      </c>
      <c r="M8" s="309">
        <f ca="1">INDIRECT("'数据-取费表'!ai"&amp;$G$1)</f>
        <v>365</v>
      </c>
    </row>
    <row r="9" spans="1:37" ht="18" customHeight="1">
      <c r="A9" s="310"/>
      <c r="B9" s="3617"/>
      <c r="C9" s="312"/>
      <c r="D9" s="313"/>
      <c r="E9" s="308" t="s">
        <v>1313</v>
      </c>
      <c r="F9" s="318">
        <f ca="1">INDIRECT("'数据-取费表'!w"&amp;$G$1)</f>
        <v>0.1</v>
      </c>
      <c r="G9" s="1538"/>
      <c r="H9" s="310"/>
      <c r="I9" s="3617"/>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2798</v>
      </c>
      <c r="E10" s="319" t="s">
        <v>1315</v>
      </c>
      <c r="F10" s="1248" t="s">
        <v>3206</v>
      </c>
      <c r="G10" s="1538"/>
      <c r="H10" s="1201" t="s">
        <v>1007</v>
      </c>
      <c r="I10" s="1519" t="s">
        <v>1314</v>
      </c>
      <c r="J10" s="307">
        <f ca="1">ROUND(IF(M10="押一",J6/12*M11,IF(M10="押二",J6/12*2*M11,IF(M10="押三",J6/12*3*M11,J11*M11))),0)</f>
        <v>0</v>
      </c>
      <c r="K10" s="1520" t="s">
        <v>2798</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4232</v>
      </c>
      <c r="D13" s="3206" t="s">
        <v>1320</v>
      </c>
      <c r="E13" s="3206" t="s">
        <v>1321</v>
      </c>
      <c r="F13" s="1214">
        <f ca="1">INDIRECT("'数据-取费表'!y"&amp;$G$1)</f>
        <v>0.93</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3023</v>
      </c>
      <c r="D14" s="3210" t="s">
        <v>1323</v>
      </c>
      <c r="E14" s="3208"/>
      <c r="F14" s="325"/>
      <c r="G14" s="1538"/>
      <c r="H14" s="1113" t="s">
        <v>1003</v>
      </c>
      <c r="I14" s="308" t="s">
        <v>1324</v>
      </c>
      <c r="J14" s="24">
        <f ca="1">C29</f>
        <v>4550</v>
      </c>
      <c r="K14" s="3213"/>
      <c r="L14" s="916"/>
      <c r="M14" s="917"/>
    </row>
    <row r="15" spans="1:37" s="1551" customFormat="1" ht="18" customHeight="1" thickBot="1">
      <c r="A15" s="1113" t="s">
        <v>1004</v>
      </c>
      <c r="B15" s="308" t="s">
        <v>1325</v>
      </c>
      <c r="C15" s="24">
        <f ca="1">ROUND(C14*F15,0)</f>
        <v>91</v>
      </c>
      <c r="D15" s="3207" t="s">
        <v>1326</v>
      </c>
      <c r="E15" s="3207"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108</v>
      </c>
      <c r="K16" s="1219" t="s">
        <v>1330</v>
      </c>
      <c r="L16" s="3211"/>
      <c r="M16" s="1204"/>
    </row>
    <row r="17" spans="1:37" s="1551" customFormat="1" ht="18" customHeight="1">
      <c r="A17" s="1113" t="s">
        <v>1295</v>
      </c>
      <c r="B17" s="308" t="s">
        <v>1331</v>
      </c>
      <c r="C17" s="24">
        <f ca="1">ROUND(F17*(F43+INDIRECT("'数据-取费表'!S"&amp;$G$1))/10000,0)</f>
        <v>151</v>
      </c>
      <c r="D17" s="308" t="s">
        <v>1332</v>
      </c>
      <c r="E17" s="308" t="s">
        <v>1333</v>
      </c>
      <c r="F17" s="26">
        <f>'数据-取费表'!B35</f>
        <v>200</v>
      </c>
      <c r="G17" s="1550"/>
      <c r="H17" s="1113" t="s">
        <v>1003</v>
      </c>
      <c r="I17" s="308" t="s">
        <v>1334</v>
      </c>
      <c r="J17" s="2504">
        <f ca="1">ROUND(IF(AND(项目基本情况!B11="自然人",项目基本情况!B10="北京市"),J6*M17/(1+'数据-取费表'!C42),J18+J19+J20),0)</f>
        <v>40</v>
      </c>
      <c r="K17" s="3210" t="s">
        <v>1335</v>
      </c>
      <c r="L17" s="3209"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45</v>
      </c>
      <c r="D18" s="308" t="s">
        <v>1326</v>
      </c>
      <c r="E18" s="308" t="s">
        <v>1327</v>
      </c>
      <c r="F18" s="328">
        <f>'数据-取费表'!B36</f>
        <v>1.4999999999999999E-2</v>
      </c>
      <c r="G18" s="1550"/>
      <c r="H18" s="1113" t="s">
        <v>1002</v>
      </c>
      <c r="I18" s="308" t="s">
        <v>1338</v>
      </c>
      <c r="J18" s="24">
        <f ca="1">ROUND(J6*M18/(1+'数据-取费表'!C42),2)</f>
        <v>0</v>
      </c>
      <c r="K18" s="3209"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3310</v>
      </c>
      <c r="D19" s="136" t="s">
        <v>1341</v>
      </c>
      <c r="E19" s="3216"/>
      <c r="F19" s="26"/>
      <c r="G19" s="1538"/>
      <c r="H19" s="1113" t="s">
        <v>1004</v>
      </c>
      <c r="I19" s="308" t="s">
        <v>1342</v>
      </c>
      <c r="J19" s="24">
        <f ca="1">IF(K19="按租金收入计税",ROUND(J6*M19/(1+'数据-取费表'!C42),2),ROUND(C29*M19*0.7,2))</f>
        <v>38.22</v>
      </c>
      <c r="K19" s="1524" t="s">
        <v>1343</v>
      </c>
      <c r="L19" s="308" t="s">
        <v>1327</v>
      </c>
      <c r="M19" s="328">
        <f>IF(K19="按租金收入计税",'数据-取费表'!B51,'数据-取费表'!B50)</f>
        <v>1.2E-2</v>
      </c>
    </row>
    <row r="20" spans="1:37" s="1551" customFormat="1" ht="18" customHeight="1">
      <c r="A20" s="1113" t="s">
        <v>1007</v>
      </c>
      <c r="B20" s="308" t="s">
        <v>1344</v>
      </c>
      <c r="C20" s="24">
        <f ca="1">ROUND(C19*F20,0)</f>
        <v>66</v>
      </c>
      <c r="D20" s="329" t="s">
        <v>1345</v>
      </c>
      <c r="E20" s="308" t="s">
        <v>1327</v>
      </c>
      <c r="F20" s="328">
        <f>'数据-取费表'!B37</f>
        <v>0.02</v>
      </c>
      <c r="G20" s="1550"/>
      <c r="H20" s="1113" t="s">
        <v>1294</v>
      </c>
      <c r="I20" s="160" t="s">
        <v>1346</v>
      </c>
      <c r="J20" s="25">
        <f ca="1">ROUND(M20*M21/10000,2)</f>
        <v>1.77</v>
      </c>
      <c r="K20" s="330" t="s">
        <v>1347</v>
      </c>
      <c r="L20" s="308" t="s">
        <v>1348</v>
      </c>
      <c r="M20" s="331">
        <f>'数据-取费表'!B52</f>
        <v>8</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2213.35</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3216"/>
      <c r="F22" s="26"/>
      <c r="G22" s="1538"/>
      <c r="H22" s="1113" t="s">
        <v>1007</v>
      </c>
      <c r="I22" s="308" t="s">
        <v>1354</v>
      </c>
      <c r="J22" s="24">
        <f ca="1">ROUND(J14*M22,1)</f>
        <v>68.3</v>
      </c>
      <c r="K22" s="3209" t="s">
        <v>1355</v>
      </c>
      <c r="L22" s="308" t="s">
        <v>1327</v>
      </c>
      <c r="M22" s="334">
        <f ca="1">INDIRECT("'数据-取费表'!Ak"&amp;$G$1)</f>
        <v>1.4999999999999999E-2</v>
      </c>
    </row>
    <row r="23" spans="1:37" s="1551" customFormat="1" ht="18" customHeight="1">
      <c r="A23" s="1113" t="s">
        <v>1002</v>
      </c>
      <c r="B23" s="308" t="s">
        <v>1356</v>
      </c>
      <c r="C23" s="24">
        <f ca="1">IF('数据-取费表'!B22&lt;=1,ROUND(C19*F24*F23/2,0)+ROUND(C20*F24*F23/2,0),ROUND(C19*(POWER((1+F24),F23/2)-1),0)+ROUND(C20*(POWER((1+F24),F23/2)-1),0))</f>
        <v>147</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ROUND(J13*M23,1)</f>
        <v>0</v>
      </c>
      <c r="K23" s="3209" t="s">
        <v>1359</v>
      </c>
      <c r="L23" s="308" t="s">
        <v>1327</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1004</v>
      </c>
      <c r="B24" s="308" t="s">
        <v>1362</v>
      </c>
      <c r="C24" s="24">
        <f ca="1">ROUND(IF('数据-取费表'!B22&lt;=1,F21*F24*F23/2,F21*(POWER((1+F24),F23/2)-1)),4)</f>
        <v>8.9999999999999998E-4</v>
      </c>
      <c r="D24" s="335" t="str">
        <f>IF(F23&lt;=1,"销售费用×利率×(建设周期÷2)","销售费用×((1+利率)^(建设周期÷2)-1)")</f>
        <v>销售费用×((1+利率)^(建设周期÷2)-1)</v>
      </c>
      <c r="E24" s="308" t="s">
        <v>1363</v>
      </c>
      <c r="F24" s="337">
        <f ca="1">'数据-取费表'!B40</f>
        <v>4.3499999999999997E-2</v>
      </c>
      <c r="G24" s="1550"/>
      <c r="H24" s="1221" t="s">
        <v>1297</v>
      </c>
      <c r="I24" s="1222" t="s">
        <v>1344</v>
      </c>
      <c r="J24" s="1223">
        <f ca="1">ROUND(J5*M24,1)</f>
        <v>0</v>
      </c>
      <c r="K24" s="1224" t="s">
        <v>1364</v>
      </c>
      <c r="L24" s="1222" t="s">
        <v>1327</v>
      </c>
      <c r="M24" s="1218">
        <f ca="1">INDIRECT("'数据-取费表'!Am"&amp;$G$1)</f>
        <v>0.02</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3216"/>
      <c r="F25" s="26"/>
      <c r="G25" s="1538"/>
      <c r="H25" s="1211" t="s">
        <v>999</v>
      </c>
      <c r="I25" s="1226" t="s">
        <v>1368</v>
      </c>
      <c r="J25" s="316">
        <f ca="1">J5-J16</f>
        <v>-108</v>
      </c>
      <c r="K25" s="1227" t="s">
        <v>1369</v>
      </c>
      <c r="L25" s="1228"/>
      <c r="M25" s="1229"/>
    </row>
    <row r="26" spans="1:37">
      <c r="A26" s="1113" t="s">
        <v>1002</v>
      </c>
      <c r="B26" s="308" t="s">
        <v>1370</v>
      </c>
      <c r="C26" s="24">
        <f ca="1">ROUND((C19+C20)*F26,0)</f>
        <v>675</v>
      </c>
      <c r="D26" s="329" t="s">
        <v>1371</v>
      </c>
      <c r="E26" s="319" t="s">
        <v>1372</v>
      </c>
      <c r="F26" s="318">
        <f ca="1">INDIRECT("'数据-取费表'!q"&amp;$G$1)</f>
        <v>0.2</v>
      </c>
      <c r="G26" s="1538"/>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4.0000000000000001E-3</v>
      </c>
      <c r="D27" s="329" t="s">
        <v>1377</v>
      </c>
      <c r="E27" s="3207"/>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4550</v>
      </c>
      <c r="D29" s="1224"/>
      <c r="E29" s="1222"/>
      <c r="F29" s="1225"/>
      <c r="G29" s="1550"/>
      <c r="H29" s="340" t="s">
        <v>1001</v>
      </c>
      <c r="I29" s="341" t="s">
        <v>1384</v>
      </c>
      <c r="J29" s="342">
        <f ca="1">ROUND(J26/(1+F40)^F41,0)</f>
        <v>0</v>
      </c>
      <c r="K29" s="343" t="s">
        <v>1385</v>
      </c>
      <c r="L29" s="344"/>
      <c r="M29" s="345">
        <f ca="1">INDIRECT("'数据-取费表'!k"&amp;$G$1)</f>
        <v>7558.7</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132</v>
      </c>
      <c r="D30" s="1219" t="s">
        <v>1330</v>
      </c>
      <c r="E30" s="3211"/>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51</v>
      </c>
      <c r="D31" s="3210" t="s">
        <v>1335</v>
      </c>
      <c r="E31" s="3209" t="s">
        <v>1386</v>
      </c>
      <c r="F31" s="2503" t="str">
        <f>IF(项目基本情况!B11="企业","——",IF('数据-取费表'!B10="住宅",IF(F6*F7*F8/12/(1+'数据-取费表'!F30)&gt;100000,4%,2.5%),IF(F6*F7*F8/12/(1+'数据-取费表'!F30)&gt;100000,12%,7%)))</f>
        <v>——</v>
      </c>
      <c r="G31" s="1538"/>
      <c r="H31" s="3009" t="s">
        <v>2998</v>
      </c>
      <c r="I31" s="1552"/>
      <c r="J31" s="1553"/>
      <c r="K31" s="2671"/>
      <c r="L31" s="2897"/>
      <c r="M31" s="2898"/>
    </row>
    <row r="32" spans="1:37" ht="18" customHeight="1">
      <c r="A32" s="1113" t="s">
        <v>1002</v>
      </c>
      <c r="B32" s="308" t="s">
        <v>1338</v>
      </c>
      <c r="C32" s="24">
        <f ca="1">IF(项目基本情况!B11="自然人","——",ROUND(C6*F32/(1+'数据-取费表'!C42),2))</f>
        <v>15.61</v>
      </c>
      <c r="D32" s="3209" t="s">
        <v>1339</v>
      </c>
      <c r="E32" s="308" t="s">
        <v>1327</v>
      </c>
      <c r="F32" s="337">
        <f>'数据-取费表'!B41</f>
        <v>5.5000000000000007E-2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IF(项目基本情况!B11="自然人","——",IF(D33="按租金收入计税",ROUND(C6*F33/(1+'数据-取费表'!C42),2),IF(D33="按房产原值计税",ROUND(C29*F33*0.7,2),INDIRECT("'数据-取费表'!Aj"&amp;$G$1))))</f>
        <v>34.06</v>
      </c>
      <c r="D33" s="1524" t="s">
        <v>3205</v>
      </c>
      <c r="E33" s="308" t="s">
        <v>1327</v>
      </c>
      <c r="F33" s="328">
        <f>IF(D33="按票据","——",IF(D33="按租金收入计税",'数据-取费表'!B51,'数据-取费表'!B50))</f>
        <v>0.12</v>
      </c>
      <c r="G33" s="1538"/>
      <c r="H33" s="2899"/>
      <c r="I33" s="1552"/>
      <c r="J33" s="1553"/>
      <c r="K33" s="2900"/>
      <c r="L33" s="2899"/>
      <c r="M33" s="2899"/>
    </row>
    <row r="34" spans="1:18" ht="18" customHeight="1">
      <c r="A34" s="1201" t="s">
        <v>1294</v>
      </c>
      <c r="B34" s="160" t="s">
        <v>1346</v>
      </c>
      <c r="C34" s="25">
        <f ca="1">IF(项目基本情况!B11="自然人","——",ROUND(F34*F35/10000,2))</f>
        <v>1.77</v>
      </c>
      <c r="D34" s="330" t="s">
        <v>1347</v>
      </c>
      <c r="E34" s="308" t="s">
        <v>1348</v>
      </c>
      <c r="F34" s="331">
        <f>'数据-取费表'!B52</f>
        <v>8</v>
      </c>
      <c r="G34" s="1538"/>
      <c r="H34" s="2896"/>
      <c r="I34" s="1552"/>
      <c r="J34" s="1553"/>
      <c r="K34" s="2901"/>
      <c r="L34" s="2902"/>
      <c r="M34" s="2902"/>
    </row>
    <row r="35" spans="1:18" ht="18" customHeight="1">
      <c r="A35" s="1235"/>
      <c r="B35" s="1233"/>
      <c r="C35" s="29"/>
      <c r="D35" s="333"/>
      <c r="E35" s="308" t="s">
        <v>1352</v>
      </c>
      <c r="F35" s="309">
        <f ca="1">INDIRECT("'数据-取费表'!r"&amp;$G$1)</f>
        <v>2213.35</v>
      </c>
      <c r="G35" s="1538"/>
      <c r="H35" s="2896"/>
      <c r="I35" s="1552"/>
      <c r="J35" s="1553"/>
      <c r="K35" s="2900"/>
      <c r="L35" s="2899"/>
      <c r="M35" s="2899"/>
    </row>
    <row r="36" spans="1:18" ht="18" customHeight="1">
      <c r="A36" s="1234" t="s">
        <v>1007</v>
      </c>
      <c r="B36" s="308" t="s">
        <v>1354</v>
      </c>
      <c r="C36" s="24">
        <f ca="1">ROUND(C29*F36,1)</f>
        <v>68.3</v>
      </c>
      <c r="D36" s="3209" t="s">
        <v>1387</v>
      </c>
      <c r="E36" s="308" t="s">
        <v>1327</v>
      </c>
      <c r="F36" s="334">
        <f ca="1">INDIRECT("'数据-取费表'!Ak"&amp;$G$1)</f>
        <v>1.4999999999999999E-2</v>
      </c>
      <c r="G36" s="1538"/>
      <c r="H36" s="2899"/>
      <c r="I36" s="1552"/>
      <c r="J36" s="1553"/>
      <c r="K36" s="2740"/>
      <c r="L36" s="2899"/>
      <c r="M36" s="2899"/>
    </row>
    <row r="37" spans="1:18" ht="18" customHeight="1">
      <c r="A37" s="1113" t="s">
        <v>1043</v>
      </c>
      <c r="B37" s="308" t="s">
        <v>1358</v>
      </c>
      <c r="C37" s="24">
        <f ca="1">ROUND(C13*F37,1)</f>
        <v>6.3</v>
      </c>
      <c r="D37" s="3209" t="s">
        <v>1359</v>
      </c>
      <c r="E37" s="308" t="s">
        <v>1327</v>
      </c>
      <c r="F37" s="336">
        <f ca="1">INDIRECT("'数据-取费表'!Al"&amp;$G$1)</f>
        <v>1.5E-3</v>
      </c>
      <c r="G37" s="1538"/>
      <c r="H37" s="2899"/>
      <c r="I37" s="1552"/>
      <c r="J37" s="1553"/>
      <c r="K37" s="2740"/>
      <c r="L37" s="2899"/>
      <c r="M37" s="2899"/>
    </row>
    <row r="38" spans="1:18" ht="18" customHeight="1" thickBot="1">
      <c r="A38" s="1221" t="s">
        <v>1297</v>
      </c>
      <c r="B38" s="1222" t="s">
        <v>1344</v>
      </c>
      <c r="C38" s="1223">
        <f ca="1">ROUND(C5*F38,1)</f>
        <v>6</v>
      </c>
      <c r="D38" s="1224" t="s">
        <v>1364</v>
      </c>
      <c r="E38" s="1222" t="s">
        <v>1327</v>
      </c>
      <c r="F38" s="1218">
        <f ca="1">INDIRECT("'数据-取费表'!Am"&amp;$G$1)</f>
        <v>0.02</v>
      </c>
      <c r="G38" s="1538"/>
      <c r="H38" s="2899"/>
      <c r="I38" s="1552"/>
      <c r="J38" s="1553"/>
      <c r="K38" s="2903"/>
      <c r="L38" s="2899"/>
      <c r="M38" s="2899"/>
    </row>
    <row r="39" spans="1:18" ht="24.6" customHeight="1" thickTop="1">
      <c r="A39" s="1211" t="s">
        <v>999</v>
      </c>
      <c r="B39" s="1226" t="s">
        <v>1368</v>
      </c>
      <c r="C39" s="316">
        <f ca="1">C5-C30</f>
        <v>166</v>
      </c>
      <c r="D39" s="1227" t="s">
        <v>1369</v>
      </c>
      <c r="E39" s="1228"/>
      <c r="F39" s="1229"/>
      <c r="G39" s="1538"/>
      <c r="H39" s="2899"/>
      <c r="I39" s="1552"/>
      <c r="J39" s="1553"/>
      <c r="K39" s="2903"/>
      <c r="L39" s="2899"/>
      <c r="M39" s="2899"/>
    </row>
    <row r="40" spans="1:18" ht="18" customHeight="1">
      <c r="A40" s="305" t="s">
        <v>1000</v>
      </c>
      <c r="B40" s="306" t="s">
        <v>1390</v>
      </c>
      <c r="C40" s="307">
        <f ca="1">ROUND(C39*(1-((1+F42)/(1+F40))^F41)/(F40-F42),0)</f>
        <v>3021</v>
      </c>
      <c r="D40" s="330" t="s">
        <v>1374</v>
      </c>
      <c r="E40" s="308" t="s">
        <v>1375</v>
      </c>
      <c r="F40" s="318">
        <f ca="1">INDIRECT("'数据-取费表'!I"&amp;$G$1)</f>
        <v>5.5E-2</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30.04</v>
      </c>
      <c r="G41" s="1538"/>
      <c r="H41" s="1325"/>
      <c r="I41" s="1552"/>
      <c r="J41" s="1553"/>
      <c r="K41" s="2740"/>
      <c r="L41" s="1325"/>
      <c r="M41" s="1325"/>
    </row>
    <row r="42" spans="1:18" ht="18" customHeight="1">
      <c r="A42" s="314"/>
      <c r="B42" s="315"/>
      <c r="C42" s="316"/>
      <c r="D42" s="333"/>
      <c r="E42" s="308" t="s">
        <v>1382</v>
      </c>
      <c r="F42" s="318">
        <f ca="1">INDIRECT("'数据-取费表'!v"&amp;$G$1)</f>
        <v>0.02</v>
      </c>
      <c r="G42" s="1538"/>
      <c r="H42" s="1325"/>
      <c r="I42" s="1552"/>
      <c r="J42" s="1553"/>
      <c r="K42" s="2740"/>
      <c r="L42" s="1325"/>
      <c r="M42" s="1325"/>
    </row>
    <row r="43" spans="1:18" ht="18" customHeight="1" thickBot="1">
      <c r="A43" s="340" t="s">
        <v>1001</v>
      </c>
      <c r="B43" s="341" t="s">
        <v>1392</v>
      </c>
      <c r="C43" s="342">
        <f ca="1">ROUND(C40*10000/F43,0)</f>
        <v>3997</v>
      </c>
      <c r="D43" s="343" t="s">
        <v>1393</v>
      </c>
      <c r="E43" s="344" t="s">
        <v>1394</v>
      </c>
      <c r="F43" s="345">
        <f ca="1">INDIRECT("'数据-取费表'!k"&amp;$G$1)</f>
        <v>7558.7</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1424</v>
      </c>
      <c r="P45" s="1615"/>
      <c r="Q45" s="1615"/>
      <c r="R45" s="1615"/>
    </row>
    <row r="46" spans="1:18" s="1538" customFormat="1" ht="13.5" thickBot="1">
      <c r="A46" s="1558" t="s">
        <v>1425</v>
      </c>
      <c r="C46" s="1559">
        <f ca="1">C68-C40</f>
        <v>-9696</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3203</v>
      </c>
      <c r="K47" s="1570" t="s">
        <v>1432</v>
      </c>
      <c r="L47" s="1571">
        <f ca="1">INDIRECT("'数据-取费表'!d"&amp;$G$1)</f>
        <v>40</v>
      </c>
      <c r="M47" s="1534" t="str">
        <f>IF(ISNUMBER(FIND("住宅",C1)),"住宅","非住宅")</f>
        <v>非住宅</v>
      </c>
      <c r="O47" s="1572" t="s">
        <v>1008</v>
      </c>
      <c r="P47" s="1573" t="s">
        <v>1433</v>
      </c>
      <c r="Q47" s="1574">
        <f ca="1">C40+J29</f>
        <v>3021</v>
      </c>
      <c r="R47" s="1574" t="s">
        <v>1434</v>
      </c>
    </row>
    <row r="48" spans="1:18" s="1538" customFormat="1" ht="28.5" thickBot="1">
      <c r="A48" s="1242" t="s">
        <v>1044</v>
      </c>
      <c r="B48" s="306" t="s">
        <v>1306</v>
      </c>
      <c r="C48" s="3215">
        <f ca="1">C49+C53+C55</f>
        <v>0</v>
      </c>
      <c r="D48" s="1244"/>
      <c r="E48" s="1245"/>
      <c r="F48" s="1093"/>
      <c r="G48" s="731"/>
      <c r="H48" s="732"/>
      <c r="I48" s="1575" t="s">
        <v>1435</v>
      </c>
      <c r="J48" s="1576" t="s">
        <v>3204</v>
      </c>
      <c r="K48" s="1577" t="s">
        <v>1436</v>
      </c>
      <c r="L48" s="1578">
        <f ca="1">INDIRECT("'数据-取费表'!f"&amp;$G$1)</f>
        <v>30.04</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2790</v>
      </c>
      <c r="E49" s="1526" t="s">
        <v>1396</v>
      </c>
      <c r="F49" s="1191"/>
      <c r="G49" s="1579"/>
      <c r="H49" s="732"/>
      <c r="I49" s="1575" t="s">
        <v>1439</v>
      </c>
      <c r="J49" s="1580">
        <v>2017</v>
      </c>
      <c r="K49" s="1577" t="s">
        <v>1440</v>
      </c>
      <c r="L49" s="1581"/>
      <c r="O49" s="1582" t="s">
        <v>1010</v>
      </c>
      <c r="P49" s="1573" t="s">
        <v>1441</v>
      </c>
      <c r="Q49" s="1574">
        <f ca="1">C29</f>
        <v>4550</v>
      </c>
      <c r="R49" s="1574" t="s">
        <v>1434</v>
      </c>
    </row>
    <row r="50" spans="1:18" s="1538" customFormat="1" ht="13.5" thickBot="1">
      <c r="A50" s="1107"/>
      <c r="B50" s="1110"/>
      <c r="C50" s="1250"/>
      <c r="D50" s="1084"/>
      <c r="E50" s="1187" t="s">
        <v>1311</v>
      </c>
      <c r="F50" s="1188">
        <f ca="1">F7</f>
        <v>7558.7</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56</v>
      </c>
      <c r="K51" s="1588" t="s">
        <v>1446</v>
      </c>
      <c r="L51" s="1589">
        <f ca="1">ROUND(-PV(INDIRECT("'数据-取费表'!h"&amp;$G$1),J51,(C39-C13*C76),0),0)</f>
        <v>-2435</v>
      </c>
      <c r="M51" s="1590"/>
      <c r="O51" s="1582" t="s">
        <v>1012</v>
      </c>
      <c r="P51" s="1573" t="s">
        <v>1447</v>
      </c>
      <c r="Q51" s="1585">
        <f>J52</f>
        <v>7.4999999999999997E-2</v>
      </c>
      <c r="R51" s="1574"/>
    </row>
    <row r="52" spans="1:18" s="1538" customFormat="1" ht="13.5" thickBot="1">
      <c r="A52" s="1108"/>
      <c r="B52" s="1110"/>
      <c r="C52" s="1111"/>
      <c r="D52" s="1084"/>
      <c r="E52" s="1112" t="s">
        <v>1313</v>
      </c>
      <c r="F52" s="1185"/>
      <c r="I52" s="1591" t="s">
        <v>1448</v>
      </c>
      <c r="J52" s="1592">
        <v>7.4999999999999997E-2</v>
      </c>
      <c r="K52" s="1591" t="s">
        <v>1449</v>
      </c>
      <c r="L52" s="1592"/>
      <c r="O52" s="1582" t="s">
        <v>1013</v>
      </c>
      <c r="P52" s="1573" t="s">
        <v>1450</v>
      </c>
      <c r="Q52" s="1574">
        <f ca="1">J53</f>
        <v>30.04</v>
      </c>
      <c r="R52" s="1574" t="s">
        <v>1451</v>
      </c>
    </row>
    <row r="53" spans="1:18" s="1538" customFormat="1" ht="24.75" thickBot="1">
      <c r="A53" s="1286" t="s">
        <v>1046</v>
      </c>
      <c r="B53" s="1527" t="s">
        <v>1314</v>
      </c>
      <c r="C53" s="322">
        <f ca="1">ROUND(IF(F53="押一",C49/12*F11,IF(F53="押二",C49/12*2*F11,IF(F53="押三",C49/12*3*F11,C54*F11))),0)</f>
        <v>0</v>
      </c>
      <c r="D53" s="1520" t="s">
        <v>2798</v>
      </c>
      <c r="E53" s="319" t="s">
        <v>1315</v>
      </c>
      <c r="F53" s="1248"/>
      <c r="I53" s="1593" t="s">
        <v>1452</v>
      </c>
      <c r="J53" s="2356">
        <f ca="1">IF(M47="住宅",IF(D1="——",MAX(J51,L48),MAX(J51,L48-'数据-取费表'!B24)),IF(D1="——",MIN(J51,L48),MIN(J51,L48-'数据-取费表'!B24)))</f>
        <v>30.04</v>
      </c>
      <c r="K53" s="3613" t="s">
        <v>1453</v>
      </c>
      <c r="L53" s="3614"/>
      <c r="O53" s="1572" t="s">
        <v>1014</v>
      </c>
      <c r="P53" s="1573" t="s">
        <v>1454</v>
      </c>
      <c r="Q53" s="1574">
        <f ca="1">Q47+Q48</f>
        <v>3021</v>
      </c>
      <c r="R53" s="1574" t="s">
        <v>1015</v>
      </c>
    </row>
    <row r="54" spans="1:18" s="1538" customFormat="1" ht="13.5" thickBot="1">
      <c r="A54" s="1287"/>
      <c r="B54" s="1521" t="s">
        <v>1293</v>
      </c>
      <c r="C54" s="1090"/>
      <c r="D54" s="1520"/>
      <c r="E54" s="3212"/>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3212"/>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4232</v>
      </c>
      <c r="D56" s="1601"/>
      <c r="E56" s="1602"/>
      <c r="F56" s="1594"/>
      <c r="I56" s="1603" t="s">
        <v>1459</v>
      </c>
      <c r="J56" s="1604" t="s">
        <v>3199</v>
      </c>
      <c r="K56" s="1575" t="s">
        <v>1460</v>
      </c>
      <c r="L56" s="1578" t="str">
        <f ca="1">IF(L48&lt;J51,"——",L48-J53)</f>
        <v>——</v>
      </c>
      <c r="O56" s="1572" t="s">
        <v>1008</v>
      </c>
      <c r="P56" s="1573" t="s">
        <v>1433</v>
      </c>
      <c r="Q56" s="1574">
        <f ca="1">C40+J29</f>
        <v>3021</v>
      </c>
      <c r="R56" s="1574" t="s">
        <v>1434</v>
      </c>
    </row>
    <row r="57" spans="1:18" s="1538" customFormat="1" ht="24.75" thickBot="1">
      <c r="A57" s="1605"/>
      <c r="B57" s="1081" t="s">
        <v>1383</v>
      </c>
      <c r="C57" s="244">
        <f ca="1">C29</f>
        <v>4550</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459</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384</v>
      </c>
      <c r="D59" s="1094" t="s">
        <v>1335</v>
      </c>
      <c r="E59" s="1095" t="s">
        <v>1336</v>
      </c>
      <c r="F59" s="2503"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1342</v>
      </c>
      <c r="C61" s="24">
        <f ca="1">IF(项目基本情况!B11="自然人","——",IF(D61="按租金收入计税",ROUND(C49*F61/(1+'数据-取费表'!C42),2),IF(D61="按房产原值计税",ROUND(C57*F61*0.7,2),INDIRECT("'数据-取费表'!Aj"&amp;$G$1))))</f>
        <v>382.2</v>
      </c>
      <c r="D61" s="1524" t="s">
        <v>1343</v>
      </c>
      <c r="E61" s="1081" t="s">
        <v>1327</v>
      </c>
      <c r="F61" s="328">
        <f t="shared" si="0"/>
        <v>0.12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1346</v>
      </c>
      <c r="C62" s="25">
        <f ca="1">IF(项目基本情况!B11="自然人","——",ROUND(F62*F63/10000,2))</f>
        <v>1.77</v>
      </c>
      <c r="D62" s="1096" t="s">
        <v>1347</v>
      </c>
      <c r="E62" s="1081" t="s">
        <v>1348</v>
      </c>
      <c r="F62" s="331">
        <f t="shared" si="0"/>
        <v>8</v>
      </c>
      <c r="I62" s="1616" t="s">
        <v>1475</v>
      </c>
      <c r="J62" s="1617" t="s">
        <v>1476</v>
      </c>
      <c r="K62" s="1617" t="s">
        <v>1477</v>
      </c>
      <c r="L62" s="1617" t="s">
        <v>1478</v>
      </c>
      <c r="M62" s="1618" t="s">
        <v>1479</v>
      </c>
      <c r="O62" s="1572" t="s">
        <v>1014</v>
      </c>
      <c r="P62" s="1573" t="s">
        <v>1454</v>
      </c>
      <c r="Q62" s="1574">
        <f ca="1">Q56+Q57</f>
        <v>3021</v>
      </c>
      <c r="R62" s="1574" t="s">
        <v>1015</v>
      </c>
    </row>
    <row r="63" spans="1:18" s="1538" customFormat="1" ht="13.5" thickBot="1">
      <c r="A63" s="332"/>
      <c r="B63" s="1087"/>
      <c r="C63" s="29"/>
      <c r="D63" s="1097"/>
      <c r="E63" s="1081" t="s">
        <v>1352</v>
      </c>
      <c r="F63" s="309">
        <f t="shared" ca="1" si="0"/>
        <v>2213.35</v>
      </c>
      <c r="I63" s="1616" t="s">
        <v>1481</v>
      </c>
      <c r="J63" s="1617">
        <v>70</v>
      </c>
      <c r="K63" s="1617">
        <v>50</v>
      </c>
      <c r="L63" s="1617">
        <v>80</v>
      </c>
      <c r="M63" s="1619">
        <v>0.02</v>
      </c>
      <c r="O63" s="1557" t="s">
        <v>1482</v>
      </c>
      <c r="P63" s="1535"/>
      <c r="Q63" s="1535"/>
      <c r="R63" s="1535"/>
    </row>
    <row r="64" spans="1:18" s="1538" customFormat="1" ht="13.5" thickBot="1">
      <c r="A64" s="1113" t="s">
        <v>1007</v>
      </c>
      <c r="B64" s="1081" t="s">
        <v>1354</v>
      </c>
      <c r="C64" s="24">
        <f ca="1">ROUND(C57*F64,1)</f>
        <v>68.3</v>
      </c>
      <c r="D64" s="1095" t="s">
        <v>1387</v>
      </c>
      <c r="E64" s="1081" t="s">
        <v>1327</v>
      </c>
      <c r="F64" s="334">
        <f t="shared" ca="1" si="0"/>
        <v>1.4999999999999999E-2</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6.3</v>
      </c>
      <c r="D65" s="1095" t="s">
        <v>1359</v>
      </c>
      <c r="E65" s="1081" t="s">
        <v>1327</v>
      </c>
      <c r="F65" s="336">
        <f t="shared" ca="1" si="0"/>
        <v>1.5E-3</v>
      </c>
      <c r="I65" s="1616" t="s">
        <v>1484</v>
      </c>
      <c r="J65" s="1617">
        <v>40</v>
      </c>
      <c r="K65" s="1617">
        <v>30</v>
      </c>
      <c r="L65" s="1617">
        <v>50</v>
      </c>
      <c r="M65" s="1619">
        <v>0.02</v>
      </c>
      <c r="O65" s="1572" t="s">
        <v>1008</v>
      </c>
      <c r="P65" s="1573" t="s">
        <v>1433</v>
      </c>
      <c r="Q65" s="1574">
        <f ca="1">C40+J29</f>
        <v>3021</v>
      </c>
      <c r="R65" s="1574" t="s">
        <v>1434</v>
      </c>
    </row>
    <row r="66" spans="1:18" s="1538" customFormat="1" ht="16.5" thickBot="1">
      <c r="A66" s="1113" t="s">
        <v>1409</v>
      </c>
      <c r="B66" s="1081" t="s">
        <v>1344</v>
      </c>
      <c r="C66" s="24">
        <f ca="1">ROUND(C48*F66,1)</f>
        <v>0</v>
      </c>
      <c r="D66" s="1095" t="s">
        <v>1364</v>
      </c>
      <c r="E66" s="1081" t="s">
        <v>1327</v>
      </c>
      <c r="F66" s="318">
        <f t="shared" ca="1" si="0"/>
        <v>0.02</v>
      </c>
      <c r="O66" s="1572" t="s">
        <v>1009</v>
      </c>
      <c r="P66" s="1573" t="s">
        <v>1463</v>
      </c>
      <c r="Q66" s="1574">
        <f ca="1">L60</f>
        <v>0</v>
      </c>
      <c r="R66" s="1574" t="s">
        <v>1486</v>
      </c>
    </row>
    <row r="67" spans="1:18" s="1538" customFormat="1" ht="16.5" thickBot="1">
      <c r="A67" s="1088" t="s">
        <v>999</v>
      </c>
      <c r="B67" s="1098" t="s">
        <v>1368</v>
      </c>
      <c r="C67" s="322">
        <f ca="1">C48-C58</f>
        <v>-459</v>
      </c>
      <c r="D67" s="1094" t="s">
        <v>1369</v>
      </c>
      <c r="E67" s="1099"/>
      <c r="F67" s="1100"/>
      <c r="O67" s="1582" t="s">
        <v>1010</v>
      </c>
      <c r="P67" s="1573" t="s">
        <v>1467</v>
      </c>
      <c r="Q67" s="1620">
        <f ca="1">L51</f>
        <v>-2435</v>
      </c>
      <c r="R67" s="1574" t="s">
        <v>1487</v>
      </c>
    </row>
    <row r="68" spans="1:18" s="1538" customFormat="1" ht="16.5" thickBot="1">
      <c r="A68" s="1078" t="s">
        <v>1000</v>
      </c>
      <c r="B68" s="1079" t="s">
        <v>1390</v>
      </c>
      <c r="C68" s="307">
        <f ca="1">ROUND(C67*(1-((1+F70)/(1+F68))^F69)/(F68-F70),0)</f>
        <v>-6675</v>
      </c>
      <c r="D68" s="1096" t="s">
        <v>1374</v>
      </c>
      <c r="E68" s="1081" t="s">
        <v>1375</v>
      </c>
      <c r="F68" s="318">
        <f ca="1">F40</f>
        <v>5.5E-2</v>
      </c>
      <c r="O68" s="1582" t="s">
        <v>1011</v>
      </c>
      <c r="P68" s="1621" t="s">
        <v>1488</v>
      </c>
      <c r="Q68" s="1574">
        <f ca="1">ROUND(Q69-Q70*Q71,0)</f>
        <v>-130</v>
      </c>
      <c r="R68" s="1574" t="s">
        <v>1019</v>
      </c>
    </row>
    <row r="69" spans="1:18" s="1538" customFormat="1" ht="13.5" thickBot="1">
      <c r="A69" s="1082"/>
      <c r="B69" s="1083"/>
      <c r="C69" s="312"/>
      <c r="D69" s="1101" t="s">
        <v>1378</v>
      </c>
      <c r="E69" s="1081" t="s">
        <v>1379</v>
      </c>
      <c r="F69" s="339">
        <f ca="1">F41</f>
        <v>30.04</v>
      </c>
      <c r="O69" s="1582" t="s">
        <v>1016</v>
      </c>
      <c r="P69" s="1621" t="s">
        <v>1489</v>
      </c>
      <c r="Q69" s="1574">
        <f ca="1">C39</f>
        <v>166</v>
      </c>
      <c r="R69" s="1574" t="s">
        <v>1434</v>
      </c>
    </row>
    <row r="70" spans="1:18" s="1538" customFormat="1" ht="13.5" thickBot="1">
      <c r="A70" s="1085"/>
      <c r="B70" s="1086"/>
      <c r="C70" s="316"/>
      <c r="D70" s="1097"/>
      <c r="E70" s="1081" t="s">
        <v>1382</v>
      </c>
      <c r="F70" s="1185"/>
      <c r="O70" s="1582" t="s">
        <v>1017</v>
      </c>
      <c r="P70" s="1621" t="s">
        <v>1490</v>
      </c>
      <c r="Q70" s="1574">
        <f ca="1">C13</f>
        <v>4232</v>
      </c>
      <c r="R70" s="1574" t="s">
        <v>1434</v>
      </c>
    </row>
    <row r="71" spans="1:18" s="1538" customFormat="1" ht="13.5" thickBot="1">
      <c r="A71" s="1102" t="s">
        <v>1001</v>
      </c>
      <c r="B71" s="1103" t="s">
        <v>1392</v>
      </c>
      <c r="C71" s="342">
        <f ca="1">ROUND(C68*10000/F71,0)</f>
        <v>-8831</v>
      </c>
      <c r="D71" s="1104" t="s">
        <v>1393</v>
      </c>
      <c r="E71" s="1105" t="s">
        <v>1394</v>
      </c>
      <c r="F71" s="345">
        <f ca="1">F43</f>
        <v>7558.7</v>
      </c>
      <c r="O71" s="1582" t="s">
        <v>1018</v>
      </c>
      <c r="P71" s="1621" t="s">
        <v>1491</v>
      </c>
      <c r="Q71" s="1585">
        <f ca="1">C76</f>
        <v>7.0000000000000007E-2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296</v>
      </c>
      <c r="D75" s="1538"/>
      <c r="E75" s="1538"/>
      <c r="F75" s="1538"/>
      <c r="K75" s="1556"/>
      <c r="L75" s="1538"/>
      <c r="O75" s="1572" t="s">
        <v>1014</v>
      </c>
      <c r="P75" s="1573" t="s">
        <v>1454</v>
      </c>
      <c r="Q75" s="1574">
        <f ca="1">Q65+Q66</f>
        <v>3021</v>
      </c>
      <c r="R75" s="1574" t="s">
        <v>1015</v>
      </c>
    </row>
    <row r="76" spans="1:18">
      <c r="B76" s="348" t="s">
        <v>1412</v>
      </c>
      <c r="C76" s="349">
        <f ca="1">INDIRECT("'数据-取费表'!j"&amp;$G$1)</f>
        <v>7.0000000000000007E-2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-0.78299999999999992</v>
      </c>
    </row>
    <row r="80" spans="1:18">
      <c r="B80" s="346" t="s">
        <v>1416</v>
      </c>
      <c r="C80" s="280">
        <f ca="1">ROUND(C75/C39,3)</f>
        <v>1.7829999999999999</v>
      </c>
    </row>
    <row r="81" spans="2:3">
      <c r="B81" s="276" t="s">
        <v>1417</v>
      </c>
      <c r="C81" s="244"/>
    </row>
    <row r="82" spans="2:3">
      <c r="B82" s="279" t="s">
        <v>1418</v>
      </c>
      <c r="C82" s="281">
        <f ca="1">1-C83</f>
        <v>-0.40100000000000002</v>
      </c>
    </row>
    <row r="83" spans="2:3">
      <c r="B83" s="279" t="s">
        <v>1419</v>
      </c>
      <c r="C83" s="280">
        <f ca="1">ROUND(C13/C40,3)</f>
        <v>1.401</v>
      </c>
    </row>
  </sheetData>
  <sheetProtection formatCells="0" formatColumns="0" formatRows="0"/>
  <mergeCells count="3">
    <mergeCell ref="B6:B9"/>
    <mergeCell ref="I6:I9"/>
    <mergeCell ref="K53:L53"/>
  </mergeCells>
  <phoneticPr fontId="140"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8</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5"/>
      <c r="H2" s="2894"/>
      <c r="I2" s="2894"/>
      <c r="J2" s="2894"/>
      <c r="K2" s="2895"/>
      <c r="L2" s="2894"/>
      <c r="M2" s="2894"/>
    </row>
    <row r="3" spans="1:37" ht="18" customHeight="1" thickBot="1">
      <c r="A3" s="1544" t="s">
        <v>1498</v>
      </c>
      <c r="B3" s="1545">
        <f ca="1">IF(ISERROR(D2/F43),0,ROUND(D2/F43,0))</f>
        <v>0</v>
      </c>
      <c r="C3" s="1541" t="s">
        <v>1499</v>
      </c>
      <c r="D3" s="1541"/>
      <c r="E3" s="1542"/>
      <c r="F3" s="1543"/>
      <c r="G3" s="2905"/>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615" t="s">
        <v>1308</v>
      </c>
      <c r="C6" s="1206">
        <f ca="1">ROUND(F6*F8*F7*(1-F9),0)</f>
        <v>0</v>
      </c>
      <c r="D6" s="160" t="s">
        <v>2788</v>
      </c>
      <c r="E6" s="308" t="s">
        <v>1310</v>
      </c>
      <c r="F6" s="309">
        <f ca="1">INDIRECT("'数据-取费表'!u"&amp;$G$1)</f>
        <v>0</v>
      </c>
      <c r="G6" s="1538"/>
      <c r="H6" s="1201" t="s">
        <v>1003</v>
      </c>
      <c r="I6" s="3615" t="s">
        <v>1308</v>
      </c>
      <c r="J6" s="307">
        <f ca="1">ROUND(M6*M8*M7*(1-M9),0)</f>
        <v>0</v>
      </c>
      <c r="K6" s="1530" t="s">
        <v>2789</v>
      </c>
      <c r="L6" s="308" t="s">
        <v>1310</v>
      </c>
      <c r="M6" s="309">
        <f ca="1">INDIRECT("'数据-取费表'!z"&amp;$G$1)</f>
        <v>0</v>
      </c>
    </row>
    <row r="7" spans="1:37" ht="18" customHeight="1">
      <c r="A7" s="1205"/>
      <c r="B7" s="3616"/>
      <c r="C7" s="1207"/>
      <c r="D7" s="313"/>
      <c r="E7" s="1208" t="s">
        <v>1311</v>
      </c>
      <c r="F7" s="309">
        <f ca="1">IF(INDIRECT("'数据-取费表'!ah"&amp;$G$1)="",INDIRECT("'数据-取费表'!k"&amp;$G$1),INDIRECT("'数据-取费表'!ah"&amp;$G$1))</f>
        <v>0</v>
      </c>
      <c r="G7" s="1538"/>
      <c r="H7" s="310"/>
      <c r="I7" s="3616"/>
      <c r="J7" s="312"/>
      <c r="K7" s="313"/>
      <c r="L7" s="308" t="s">
        <v>1311</v>
      </c>
      <c r="M7" s="309">
        <f ca="1">F7</f>
        <v>0</v>
      </c>
    </row>
    <row r="8" spans="1:37" ht="18" customHeight="1">
      <c r="A8" s="310"/>
      <c r="B8" s="3616"/>
      <c r="C8" s="312"/>
      <c r="D8" s="313"/>
      <c r="E8" s="308" t="s">
        <v>1312</v>
      </c>
      <c r="F8" s="309">
        <f ca="1">INDIRECT("'数据-取费表'!ai"&amp;$G$1)</f>
        <v>0</v>
      </c>
      <c r="G8" s="1538"/>
      <c r="H8" s="310"/>
      <c r="I8" s="3616"/>
      <c r="J8" s="312"/>
      <c r="K8" s="313"/>
      <c r="L8" s="308" t="s">
        <v>1312</v>
      </c>
      <c r="M8" s="309">
        <f ca="1">INDIRECT("'数据-取费表'!ai"&amp;$G$1)</f>
        <v>0</v>
      </c>
    </row>
    <row r="9" spans="1:37" ht="18" customHeight="1">
      <c r="A9" s="310"/>
      <c r="B9" s="3617"/>
      <c r="C9" s="312"/>
      <c r="D9" s="313"/>
      <c r="E9" s="308" t="s">
        <v>1313</v>
      </c>
      <c r="F9" s="318">
        <f ca="1">INDIRECT("'数据-取费表'!w"&amp;$G$1)</f>
        <v>0</v>
      </c>
      <c r="G9" s="1538"/>
      <c r="H9" s="310"/>
      <c r="I9" s="3617"/>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2798</v>
      </c>
      <c r="E10" s="319" t="s">
        <v>1315</v>
      </c>
      <c r="F10" s="1248"/>
      <c r="G10" s="1538"/>
      <c r="H10" s="1201" t="s">
        <v>1007</v>
      </c>
      <c r="I10" s="1519" t="s">
        <v>1314</v>
      </c>
      <c r="J10" s="307">
        <f ca="1">ROUND(IF(M10="押一",J6/12*M11,IF(M10="押二",J6/12*2*M11,IF(M10="押三",J6/12*3*M11,J11*M11))),0)</f>
        <v>0</v>
      </c>
      <c r="K10" s="1531" t="s">
        <v>2800</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8</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8.9999999999999998E-4</v>
      </c>
      <c r="D24" s="335" t="str">
        <f>IF(F23&lt;=1,"销售费用×利率×(建设周期÷2)","销售费用×((1+利率)^(建设周期÷2)-1)")</f>
        <v>销售费用×((1+利率)^(建设周期÷2)-1)</v>
      </c>
      <c r="E24" s="308" t="s">
        <v>1363</v>
      </c>
      <c r="F24" s="337">
        <f ca="1">'数据-取费表'!B40</f>
        <v>4.3499999999999997E-2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9" t="s">
        <v>2998</v>
      </c>
      <c r="I31" s="1552"/>
      <c r="J31" s="1553"/>
      <c r="K31" s="2671"/>
      <c r="L31" s="2897"/>
      <c r="M31" s="2898"/>
    </row>
    <row r="32" spans="1:37" ht="18" customHeight="1">
      <c r="A32" s="1113" t="s">
        <v>1002</v>
      </c>
      <c r="B32" s="308" t="s">
        <v>1338</v>
      </c>
      <c r="C32" s="24">
        <f ca="1">IF(项目基本情况!B11="自然人","——",ROUND(C6*F32/(1+'数据-取费表'!C42),0))</f>
        <v>0</v>
      </c>
      <c r="D32" s="1498" t="s">
        <v>1339</v>
      </c>
      <c r="E32" s="308" t="s">
        <v>1327</v>
      </c>
      <c r="F32" s="337">
        <f>'数据-取费表'!B41</f>
        <v>5.5000000000000007E-2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9"/>
      <c r="I33" s="1552"/>
      <c r="J33" s="1553"/>
      <c r="K33" s="2900"/>
      <c r="L33" s="2899"/>
      <c r="M33" s="2899"/>
    </row>
    <row r="34" spans="1:18" ht="18" customHeight="1">
      <c r="A34" s="1201" t="s">
        <v>1294</v>
      </c>
      <c r="B34" s="160" t="s">
        <v>1346</v>
      </c>
      <c r="C34" s="25">
        <f ca="1">IF(项目基本情况!B11="自然人","——",ROUND(F34*F35,))</f>
        <v>0</v>
      </c>
      <c r="D34" s="330" t="s">
        <v>1347</v>
      </c>
      <c r="E34" s="308" t="s">
        <v>1348</v>
      </c>
      <c r="F34" s="331">
        <f>'数据-取费表'!B52</f>
        <v>8</v>
      </c>
      <c r="G34" s="1538"/>
      <c r="H34" s="2896"/>
      <c r="I34" s="1552"/>
      <c r="J34" s="1553"/>
      <c r="K34" s="2901"/>
      <c r="L34" s="2902"/>
      <c r="M34" s="2902"/>
    </row>
    <row r="35" spans="1:18" ht="18" customHeight="1">
      <c r="A35" s="1235"/>
      <c r="B35" s="1233"/>
      <c r="C35" s="29"/>
      <c r="D35" s="333"/>
      <c r="E35" s="308" t="s">
        <v>1352</v>
      </c>
      <c r="F35" s="309">
        <f ca="1">INDIRECT("'数据-取费表'!r"&amp;$G$1)</f>
        <v>0</v>
      </c>
      <c r="G35" s="1538"/>
      <c r="H35" s="2896"/>
      <c r="I35" s="1552"/>
      <c r="J35" s="1553"/>
      <c r="K35" s="2900"/>
      <c r="L35" s="2899"/>
      <c r="M35" s="2899"/>
    </row>
    <row r="36" spans="1:18" ht="18" customHeight="1">
      <c r="A36" s="1234" t="s">
        <v>1007</v>
      </c>
      <c r="B36" s="308" t="s">
        <v>1354</v>
      </c>
      <c r="C36" s="24">
        <f ca="1">ROUND(C29*F36,0)</f>
        <v>0</v>
      </c>
      <c r="D36" s="1498" t="s">
        <v>1387</v>
      </c>
      <c r="E36" s="308" t="s">
        <v>1327</v>
      </c>
      <c r="F36" s="334">
        <f ca="1">INDIRECT("'数据-取费表'!Ak"&amp;$G$1)</f>
        <v>0</v>
      </c>
      <c r="G36" s="1538"/>
      <c r="H36" s="2899"/>
      <c r="I36" s="1552"/>
      <c r="J36" s="1553"/>
      <c r="K36" s="2740"/>
      <c r="L36" s="2899"/>
      <c r="M36" s="2899"/>
    </row>
    <row r="37" spans="1:18" ht="18" customHeight="1">
      <c r="A37" s="1113" t="s">
        <v>1043</v>
      </c>
      <c r="B37" s="308" t="s">
        <v>1358</v>
      </c>
      <c r="C37" s="24">
        <f ca="1">ROUND(C13*F37,0)</f>
        <v>0</v>
      </c>
      <c r="D37" s="1498" t="s">
        <v>1359</v>
      </c>
      <c r="E37" s="308" t="s">
        <v>1360</v>
      </c>
      <c r="F37" s="336">
        <f ca="1">INDIRECT("'数据-取费表'!Al"&amp;$G$1)</f>
        <v>0</v>
      </c>
      <c r="G37" s="1538"/>
      <c r="H37" s="2899"/>
      <c r="I37" s="1552"/>
      <c r="J37" s="1553"/>
      <c r="K37" s="2740"/>
      <c r="L37" s="2899"/>
      <c r="M37" s="2899"/>
    </row>
    <row r="38" spans="1:18" ht="18" customHeight="1" thickBot="1">
      <c r="A38" s="1221" t="s">
        <v>1298</v>
      </c>
      <c r="B38" s="1222" t="s">
        <v>1344</v>
      </c>
      <c r="C38" s="1223">
        <f ca="1">ROUND(C5*F38,1)</f>
        <v>0</v>
      </c>
      <c r="D38" s="1224" t="s">
        <v>1364</v>
      </c>
      <c r="E38" s="1222" t="s">
        <v>1360</v>
      </c>
      <c r="F38" s="1218">
        <f ca="1">INDIRECT("'数据-取费表'!Am"&amp;$G$1)</f>
        <v>0</v>
      </c>
      <c r="G38" s="1538"/>
      <c r="H38" s="2899"/>
      <c r="I38" s="1552"/>
      <c r="J38" s="1553"/>
      <c r="K38" s="2903"/>
      <c r="L38" s="2899"/>
      <c r="M38" s="2899"/>
    </row>
    <row r="39" spans="1:18" ht="24.6" customHeight="1" thickTop="1">
      <c r="A39" s="1211" t="s">
        <v>999</v>
      </c>
      <c r="B39" s="1226" t="s">
        <v>1388</v>
      </c>
      <c r="C39" s="316">
        <f ca="1">C5-C30</f>
        <v>0</v>
      </c>
      <c r="D39" s="1227" t="s">
        <v>1389</v>
      </c>
      <c r="E39" s="1228"/>
      <c r="F39" s="1229"/>
      <c r="G39" s="1538"/>
      <c r="H39" s="2899"/>
      <c r="I39" s="1552"/>
      <c r="J39" s="1553"/>
      <c r="K39" s="2903"/>
      <c r="L39" s="2899"/>
      <c r="M39" s="2899"/>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40"/>
      <c r="L41" s="1325"/>
      <c r="M41" s="1325"/>
    </row>
    <row r="42" spans="1:18" ht="18" customHeight="1">
      <c r="A42" s="314"/>
      <c r="B42" s="315"/>
      <c r="C42" s="316"/>
      <c r="D42" s="333"/>
      <c r="E42" s="308" t="s">
        <v>1382</v>
      </c>
      <c r="F42" s="318">
        <f ca="1">INDIRECT("'数据-取费表'!v"&amp;$G$1)</f>
        <v>0</v>
      </c>
      <c r="G42" s="1538"/>
      <c r="H42" s="1325"/>
      <c r="I42" s="1552"/>
      <c r="J42" s="1553"/>
      <c r="K42" s="2740"/>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2801</v>
      </c>
      <c r="E53" s="319" t="s">
        <v>1315</v>
      </c>
      <c r="F53" s="1248"/>
      <c r="I53" s="1593" t="s">
        <v>1452</v>
      </c>
      <c r="J53" s="2356">
        <f ca="1">IF(M47="住宅",IF(D1="——",MAX(J51,L48),MAX(J51,L48-'数据-取费表'!B24)),IF(D1="——",MIN(J51,L48),MIN(J51,L48-'数据-取费表'!B24)))</f>
        <v>0</v>
      </c>
      <c r="K53" s="3613" t="s">
        <v>1453</v>
      </c>
      <c r="L53" s="3614"/>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8</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3" customWidth="1"/>
    <col min="2" max="2" width="8.875" style="3043"/>
    <col min="3" max="5" width="12.875" style="3043" customWidth="1"/>
    <col min="6" max="6" width="47.5" style="3043" customWidth="1"/>
    <col min="7" max="7" width="13" style="3202" customWidth="1"/>
    <col min="8" max="8" width="8.875" style="3037"/>
    <col min="9" max="9" width="8.875" style="3038"/>
    <col min="10" max="10" width="5.75" style="3203" customWidth="1"/>
    <col min="11" max="11" width="11.75" style="3203" customWidth="1"/>
    <col min="12" max="13" width="10.75" style="3203" customWidth="1"/>
    <col min="14" max="14" width="10" style="3203" customWidth="1"/>
    <col min="15" max="16" width="10.5" style="3203" bestFit="1" customWidth="1"/>
    <col min="17" max="17" width="10" style="3203" customWidth="1"/>
    <col min="18" max="18" width="10.125" style="3203" customWidth="1"/>
    <col min="19" max="19" width="10" style="3203" customWidth="1"/>
    <col min="20" max="20" width="26.125" style="3203" customWidth="1"/>
    <col min="21" max="21" width="8.875" style="3203"/>
    <col min="22" max="22" width="8.875" style="3038"/>
    <col min="23" max="256" width="8.875" style="3043"/>
    <col min="257" max="257" width="9.5" style="3043" customWidth="1"/>
    <col min="258" max="258" width="8.875" style="3043"/>
    <col min="259" max="261" width="12.875" style="3043" customWidth="1"/>
    <col min="262" max="262" width="47.5" style="3043" customWidth="1"/>
    <col min="263" max="263" width="13" style="3043" customWidth="1"/>
    <col min="264" max="265" width="8.875" style="3043"/>
    <col min="266" max="266" width="5.75" style="3043" customWidth="1"/>
    <col min="267" max="267" width="11.75" style="3043" customWidth="1"/>
    <col min="268" max="269" width="10.75" style="3043" customWidth="1"/>
    <col min="270" max="270" width="10" style="3043" customWidth="1"/>
    <col min="271" max="272" width="10.5" style="3043" bestFit="1" customWidth="1"/>
    <col min="273" max="273" width="10" style="3043" customWidth="1"/>
    <col min="274" max="274" width="10.125" style="3043" customWidth="1"/>
    <col min="275" max="275" width="10" style="3043" customWidth="1"/>
    <col min="276" max="276" width="26.125" style="3043" customWidth="1"/>
    <col min="277" max="512" width="8.875" style="3043"/>
    <col min="513" max="513" width="9.5" style="3043" customWidth="1"/>
    <col min="514" max="514" width="8.875" style="3043"/>
    <col min="515" max="517" width="12.875" style="3043" customWidth="1"/>
    <col min="518" max="518" width="47.5" style="3043" customWidth="1"/>
    <col min="519" max="519" width="13" style="3043" customWidth="1"/>
    <col min="520" max="521" width="8.875" style="3043"/>
    <col min="522" max="522" width="5.75" style="3043" customWidth="1"/>
    <col min="523" max="523" width="11.75" style="3043" customWidth="1"/>
    <col min="524" max="525" width="10.75" style="3043" customWidth="1"/>
    <col min="526" max="526" width="10" style="3043" customWidth="1"/>
    <col min="527" max="528" width="10.5" style="3043" bestFit="1" customWidth="1"/>
    <col min="529" max="529" width="10" style="3043" customWidth="1"/>
    <col min="530" max="530" width="10.125" style="3043" customWidth="1"/>
    <col min="531" max="531" width="10" style="3043" customWidth="1"/>
    <col min="532" max="532" width="26.125" style="3043" customWidth="1"/>
    <col min="533" max="768" width="8.875" style="3043"/>
    <col min="769" max="769" width="9.5" style="3043" customWidth="1"/>
    <col min="770" max="770" width="8.875" style="3043"/>
    <col min="771" max="773" width="12.875" style="3043" customWidth="1"/>
    <col min="774" max="774" width="47.5" style="3043" customWidth="1"/>
    <col min="775" max="775" width="13" style="3043" customWidth="1"/>
    <col min="776" max="777" width="8.875" style="3043"/>
    <col min="778" max="778" width="5.75" style="3043" customWidth="1"/>
    <col min="779" max="779" width="11.75" style="3043" customWidth="1"/>
    <col min="780" max="781" width="10.75" style="3043" customWidth="1"/>
    <col min="782" max="782" width="10" style="3043" customWidth="1"/>
    <col min="783" max="784" width="10.5" style="3043" bestFit="1" customWidth="1"/>
    <col min="785" max="785" width="10" style="3043" customWidth="1"/>
    <col min="786" max="786" width="10.125" style="3043" customWidth="1"/>
    <col min="787" max="787" width="10" style="3043" customWidth="1"/>
    <col min="788" max="788" width="26.125" style="3043" customWidth="1"/>
    <col min="789" max="1024" width="8.875" style="3043"/>
    <col min="1025" max="1025" width="9.5" style="3043" customWidth="1"/>
    <col min="1026" max="1026" width="8.875" style="3043"/>
    <col min="1027" max="1029" width="12.875" style="3043" customWidth="1"/>
    <col min="1030" max="1030" width="47.5" style="3043" customWidth="1"/>
    <col min="1031" max="1031" width="13" style="3043" customWidth="1"/>
    <col min="1032" max="1033" width="8.875" style="3043"/>
    <col min="1034" max="1034" width="5.75" style="3043" customWidth="1"/>
    <col min="1035" max="1035" width="11.75" style="3043" customWidth="1"/>
    <col min="1036" max="1037" width="10.75" style="3043" customWidth="1"/>
    <col min="1038" max="1038" width="10" style="3043" customWidth="1"/>
    <col min="1039" max="1040" width="10.5" style="3043" bestFit="1" customWidth="1"/>
    <col min="1041" max="1041" width="10" style="3043" customWidth="1"/>
    <col min="1042" max="1042" width="10.125" style="3043" customWidth="1"/>
    <col min="1043" max="1043" width="10" style="3043" customWidth="1"/>
    <col min="1044" max="1044" width="26.125" style="3043" customWidth="1"/>
    <col min="1045" max="1280" width="8.875" style="3043"/>
    <col min="1281" max="1281" width="9.5" style="3043" customWidth="1"/>
    <col min="1282" max="1282" width="8.875" style="3043"/>
    <col min="1283" max="1285" width="12.875" style="3043" customWidth="1"/>
    <col min="1286" max="1286" width="47.5" style="3043" customWidth="1"/>
    <col min="1287" max="1287" width="13" style="3043" customWidth="1"/>
    <col min="1288" max="1289" width="8.875" style="3043"/>
    <col min="1290" max="1290" width="5.75" style="3043" customWidth="1"/>
    <col min="1291" max="1291" width="11.75" style="3043" customWidth="1"/>
    <col min="1292" max="1293" width="10.75" style="3043" customWidth="1"/>
    <col min="1294" max="1294" width="10" style="3043" customWidth="1"/>
    <col min="1295" max="1296" width="10.5" style="3043" bestFit="1" customWidth="1"/>
    <col min="1297" max="1297" width="10" style="3043" customWidth="1"/>
    <col min="1298" max="1298" width="10.125" style="3043" customWidth="1"/>
    <col min="1299" max="1299" width="10" style="3043" customWidth="1"/>
    <col min="1300" max="1300" width="26.125" style="3043" customWidth="1"/>
    <col min="1301" max="1536" width="8.875" style="3043"/>
    <col min="1537" max="1537" width="9.5" style="3043" customWidth="1"/>
    <col min="1538" max="1538" width="8.875" style="3043"/>
    <col min="1539" max="1541" width="12.875" style="3043" customWidth="1"/>
    <col min="1542" max="1542" width="47.5" style="3043" customWidth="1"/>
    <col min="1543" max="1543" width="13" style="3043" customWidth="1"/>
    <col min="1544" max="1545" width="8.875" style="3043"/>
    <col min="1546" max="1546" width="5.75" style="3043" customWidth="1"/>
    <col min="1547" max="1547" width="11.75" style="3043" customWidth="1"/>
    <col min="1548" max="1549" width="10.75" style="3043" customWidth="1"/>
    <col min="1550" max="1550" width="10" style="3043" customWidth="1"/>
    <col min="1551" max="1552" width="10.5" style="3043" bestFit="1" customWidth="1"/>
    <col min="1553" max="1553" width="10" style="3043" customWidth="1"/>
    <col min="1554" max="1554" width="10.125" style="3043" customWidth="1"/>
    <col min="1555" max="1555" width="10" style="3043" customWidth="1"/>
    <col min="1556" max="1556" width="26.125" style="3043" customWidth="1"/>
    <col min="1557" max="1792" width="8.875" style="3043"/>
    <col min="1793" max="1793" width="9.5" style="3043" customWidth="1"/>
    <col min="1794" max="1794" width="8.875" style="3043"/>
    <col min="1795" max="1797" width="12.875" style="3043" customWidth="1"/>
    <col min="1798" max="1798" width="47.5" style="3043" customWidth="1"/>
    <col min="1799" max="1799" width="13" style="3043" customWidth="1"/>
    <col min="1800" max="1801" width="8.875" style="3043"/>
    <col min="1802" max="1802" width="5.75" style="3043" customWidth="1"/>
    <col min="1803" max="1803" width="11.75" style="3043" customWidth="1"/>
    <col min="1804" max="1805" width="10.75" style="3043" customWidth="1"/>
    <col min="1806" max="1806" width="10" style="3043" customWidth="1"/>
    <col min="1807" max="1808" width="10.5" style="3043" bestFit="1" customWidth="1"/>
    <col min="1809" max="1809" width="10" style="3043" customWidth="1"/>
    <col min="1810" max="1810" width="10.125" style="3043" customWidth="1"/>
    <col min="1811" max="1811" width="10" style="3043" customWidth="1"/>
    <col min="1812" max="1812" width="26.125" style="3043" customWidth="1"/>
    <col min="1813" max="2048" width="8.875" style="3043"/>
    <col min="2049" max="2049" width="9.5" style="3043" customWidth="1"/>
    <col min="2050" max="2050" width="8.875" style="3043"/>
    <col min="2051" max="2053" width="12.875" style="3043" customWidth="1"/>
    <col min="2054" max="2054" width="47.5" style="3043" customWidth="1"/>
    <col min="2055" max="2055" width="13" style="3043" customWidth="1"/>
    <col min="2056" max="2057" width="8.875" style="3043"/>
    <col min="2058" max="2058" width="5.75" style="3043" customWidth="1"/>
    <col min="2059" max="2059" width="11.75" style="3043" customWidth="1"/>
    <col min="2060" max="2061" width="10.75" style="3043" customWidth="1"/>
    <col min="2062" max="2062" width="10" style="3043" customWidth="1"/>
    <col min="2063" max="2064" width="10.5" style="3043" bestFit="1" customWidth="1"/>
    <col min="2065" max="2065" width="10" style="3043" customWidth="1"/>
    <col min="2066" max="2066" width="10.125" style="3043" customWidth="1"/>
    <col min="2067" max="2067" width="10" style="3043" customWidth="1"/>
    <col min="2068" max="2068" width="26.125" style="3043" customWidth="1"/>
    <col min="2069" max="2304" width="8.875" style="3043"/>
    <col min="2305" max="2305" width="9.5" style="3043" customWidth="1"/>
    <col min="2306" max="2306" width="8.875" style="3043"/>
    <col min="2307" max="2309" width="12.875" style="3043" customWidth="1"/>
    <col min="2310" max="2310" width="47.5" style="3043" customWidth="1"/>
    <col min="2311" max="2311" width="13" style="3043" customWidth="1"/>
    <col min="2312" max="2313" width="8.875" style="3043"/>
    <col min="2314" max="2314" width="5.75" style="3043" customWidth="1"/>
    <col min="2315" max="2315" width="11.75" style="3043" customWidth="1"/>
    <col min="2316" max="2317" width="10.75" style="3043" customWidth="1"/>
    <col min="2318" max="2318" width="10" style="3043" customWidth="1"/>
    <col min="2319" max="2320" width="10.5" style="3043" bestFit="1" customWidth="1"/>
    <col min="2321" max="2321" width="10" style="3043" customWidth="1"/>
    <col min="2322" max="2322" width="10.125" style="3043" customWidth="1"/>
    <col min="2323" max="2323" width="10" style="3043" customWidth="1"/>
    <col min="2324" max="2324" width="26.125" style="3043" customWidth="1"/>
    <col min="2325" max="2560" width="8.875" style="3043"/>
    <col min="2561" max="2561" width="9.5" style="3043" customWidth="1"/>
    <col min="2562" max="2562" width="8.875" style="3043"/>
    <col min="2563" max="2565" width="12.875" style="3043" customWidth="1"/>
    <col min="2566" max="2566" width="47.5" style="3043" customWidth="1"/>
    <col min="2567" max="2567" width="13" style="3043" customWidth="1"/>
    <col min="2568" max="2569" width="8.875" style="3043"/>
    <col min="2570" max="2570" width="5.75" style="3043" customWidth="1"/>
    <col min="2571" max="2571" width="11.75" style="3043" customWidth="1"/>
    <col min="2572" max="2573" width="10.75" style="3043" customWidth="1"/>
    <col min="2574" max="2574" width="10" style="3043" customWidth="1"/>
    <col min="2575" max="2576" width="10.5" style="3043" bestFit="1" customWidth="1"/>
    <col min="2577" max="2577" width="10" style="3043" customWidth="1"/>
    <col min="2578" max="2578" width="10.125" style="3043" customWidth="1"/>
    <col min="2579" max="2579" width="10" style="3043" customWidth="1"/>
    <col min="2580" max="2580" width="26.125" style="3043" customWidth="1"/>
    <col min="2581" max="2816" width="8.875" style="3043"/>
    <col min="2817" max="2817" width="9.5" style="3043" customWidth="1"/>
    <col min="2818" max="2818" width="8.875" style="3043"/>
    <col min="2819" max="2821" width="12.875" style="3043" customWidth="1"/>
    <col min="2822" max="2822" width="47.5" style="3043" customWidth="1"/>
    <col min="2823" max="2823" width="13" style="3043" customWidth="1"/>
    <col min="2824" max="2825" width="8.875" style="3043"/>
    <col min="2826" max="2826" width="5.75" style="3043" customWidth="1"/>
    <col min="2827" max="2827" width="11.75" style="3043" customWidth="1"/>
    <col min="2828" max="2829" width="10.75" style="3043" customWidth="1"/>
    <col min="2830" max="2830" width="10" style="3043" customWidth="1"/>
    <col min="2831" max="2832" width="10.5" style="3043" bestFit="1" customWidth="1"/>
    <col min="2833" max="2833" width="10" style="3043" customWidth="1"/>
    <col min="2834" max="2834" width="10.125" style="3043" customWidth="1"/>
    <col min="2835" max="2835" width="10" style="3043" customWidth="1"/>
    <col min="2836" max="2836" width="26.125" style="3043" customWidth="1"/>
    <col min="2837" max="3072" width="8.875" style="3043"/>
    <col min="3073" max="3073" width="9.5" style="3043" customWidth="1"/>
    <col min="3074" max="3074" width="8.875" style="3043"/>
    <col min="3075" max="3077" width="12.875" style="3043" customWidth="1"/>
    <col min="3078" max="3078" width="47.5" style="3043" customWidth="1"/>
    <col min="3079" max="3079" width="13" style="3043" customWidth="1"/>
    <col min="3080" max="3081" width="8.875" style="3043"/>
    <col min="3082" max="3082" width="5.75" style="3043" customWidth="1"/>
    <col min="3083" max="3083" width="11.75" style="3043" customWidth="1"/>
    <col min="3084" max="3085" width="10.75" style="3043" customWidth="1"/>
    <col min="3086" max="3086" width="10" style="3043" customWidth="1"/>
    <col min="3087" max="3088" width="10.5" style="3043" bestFit="1" customWidth="1"/>
    <col min="3089" max="3089" width="10" style="3043" customWidth="1"/>
    <col min="3090" max="3090" width="10.125" style="3043" customWidth="1"/>
    <col min="3091" max="3091" width="10" style="3043" customWidth="1"/>
    <col min="3092" max="3092" width="26.125" style="3043" customWidth="1"/>
    <col min="3093" max="3328" width="8.875" style="3043"/>
    <col min="3329" max="3329" width="9.5" style="3043" customWidth="1"/>
    <col min="3330" max="3330" width="8.875" style="3043"/>
    <col min="3331" max="3333" width="12.875" style="3043" customWidth="1"/>
    <col min="3334" max="3334" width="47.5" style="3043" customWidth="1"/>
    <col min="3335" max="3335" width="13" style="3043" customWidth="1"/>
    <col min="3336" max="3337" width="8.875" style="3043"/>
    <col min="3338" max="3338" width="5.75" style="3043" customWidth="1"/>
    <col min="3339" max="3339" width="11.75" style="3043" customWidth="1"/>
    <col min="3340" max="3341" width="10.75" style="3043" customWidth="1"/>
    <col min="3342" max="3342" width="10" style="3043" customWidth="1"/>
    <col min="3343" max="3344" width="10.5" style="3043" bestFit="1" customWidth="1"/>
    <col min="3345" max="3345" width="10" style="3043" customWidth="1"/>
    <col min="3346" max="3346" width="10.125" style="3043" customWidth="1"/>
    <col min="3347" max="3347" width="10" style="3043" customWidth="1"/>
    <col min="3348" max="3348" width="26.125" style="3043" customWidth="1"/>
    <col min="3349" max="3584" width="8.875" style="3043"/>
    <col min="3585" max="3585" width="9.5" style="3043" customWidth="1"/>
    <col min="3586" max="3586" width="8.875" style="3043"/>
    <col min="3587" max="3589" width="12.875" style="3043" customWidth="1"/>
    <col min="3590" max="3590" width="47.5" style="3043" customWidth="1"/>
    <col min="3591" max="3591" width="13" style="3043" customWidth="1"/>
    <col min="3592" max="3593" width="8.875" style="3043"/>
    <col min="3594" max="3594" width="5.75" style="3043" customWidth="1"/>
    <col min="3595" max="3595" width="11.75" style="3043" customWidth="1"/>
    <col min="3596" max="3597" width="10.75" style="3043" customWidth="1"/>
    <col min="3598" max="3598" width="10" style="3043" customWidth="1"/>
    <col min="3599" max="3600" width="10.5" style="3043" bestFit="1" customWidth="1"/>
    <col min="3601" max="3601" width="10" style="3043" customWidth="1"/>
    <col min="3602" max="3602" width="10.125" style="3043" customWidth="1"/>
    <col min="3603" max="3603" width="10" style="3043" customWidth="1"/>
    <col min="3604" max="3604" width="26.125" style="3043" customWidth="1"/>
    <col min="3605" max="3840" width="8.875" style="3043"/>
    <col min="3841" max="3841" width="9.5" style="3043" customWidth="1"/>
    <col min="3842" max="3842" width="8.875" style="3043"/>
    <col min="3843" max="3845" width="12.875" style="3043" customWidth="1"/>
    <col min="3846" max="3846" width="47.5" style="3043" customWidth="1"/>
    <col min="3847" max="3847" width="13" style="3043" customWidth="1"/>
    <col min="3848" max="3849" width="8.875" style="3043"/>
    <col min="3850" max="3850" width="5.75" style="3043" customWidth="1"/>
    <col min="3851" max="3851" width="11.75" style="3043" customWidth="1"/>
    <col min="3852" max="3853" width="10.75" style="3043" customWidth="1"/>
    <col min="3854" max="3854" width="10" style="3043" customWidth="1"/>
    <col min="3855" max="3856" width="10.5" style="3043" bestFit="1" customWidth="1"/>
    <col min="3857" max="3857" width="10" style="3043" customWidth="1"/>
    <col min="3858" max="3858" width="10.125" style="3043" customWidth="1"/>
    <col min="3859" max="3859" width="10" style="3043" customWidth="1"/>
    <col min="3860" max="3860" width="26.125" style="3043" customWidth="1"/>
    <col min="3861" max="4096" width="8.875" style="3043"/>
    <col min="4097" max="4097" width="9.5" style="3043" customWidth="1"/>
    <col min="4098" max="4098" width="8.875" style="3043"/>
    <col min="4099" max="4101" width="12.875" style="3043" customWidth="1"/>
    <col min="4102" max="4102" width="47.5" style="3043" customWidth="1"/>
    <col min="4103" max="4103" width="13" style="3043" customWidth="1"/>
    <col min="4104" max="4105" width="8.875" style="3043"/>
    <col min="4106" max="4106" width="5.75" style="3043" customWidth="1"/>
    <col min="4107" max="4107" width="11.75" style="3043" customWidth="1"/>
    <col min="4108" max="4109" width="10.75" style="3043" customWidth="1"/>
    <col min="4110" max="4110" width="10" style="3043" customWidth="1"/>
    <col min="4111" max="4112" width="10.5" style="3043" bestFit="1" customWidth="1"/>
    <col min="4113" max="4113" width="10" style="3043" customWidth="1"/>
    <col min="4114" max="4114" width="10.125" style="3043" customWidth="1"/>
    <col min="4115" max="4115" width="10" style="3043" customWidth="1"/>
    <col min="4116" max="4116" width="26.125" style="3043" customWidth="1"/>
    <col min="4117" max="4352" width="8.875" style="3043"/>
    <col min="4353" max="4353" width="9.5" style="3043" customWidth="1"/>
    <col min="4354" max="4354" width="8.875" style="3043"/>
    <col min="4355" max="4357" width="12.875" style="3043" customWidth="1"/>
    <col min="4358" max="4358" width="47.5" style="3043" customWidth="1"/>
    <col min="4359" max="4359" width="13" style="3043" customWidth="1"/>
    <col min="4360" max="4361" width="8.875" style="3043"/>
    <col min="4362" max="4362" width="5.75" style="3043" customWidth="1"/>
    <col min="4363" max="4363" width="11.75" style="3043" customWidth="1"/>
    <col min="4364" max="4365" width="10.75" style="3043" customWidth="1"/>
    <col min="4366" max="4366" width="10" style="3043" customWidth="1"/>
    <col min="4367" max="4368" width="10.5" style="3043" bestFit="1" customWidth="1"/>
    <col min="4369" max="4369" width="10" style="3043" customWidth="1"/>
    <col min="4370" max="4370" width="10.125" style="3043" customWidth="1"/>
    <col min="4371" max="4371" width="10" style="3043" customWidth="1"/>
    <col min="4372" max="4372" width="26.125" style="3043" customWidth="1"/>
    <col min="4373" max="4608" width="8.875" style="3043"/>
    <col min="4609" max="4609" width="9.5" style="3043" customWidth="1"/>
    <col min="4610" max="4610" width="8.875" style="3043"/>
    <col min="4611" max="4613" width="12.875" style="3043" customWidth="1"/>
    <col min="4614" max="4614" width="47.5" style="3043" customWidth="1"/>
    <col min="4615" max="4615" width="13" style="3043" customWidth="1"/>
    <col min="4616" max="4617" width="8.875" style="3043"/>
    <col min="4618" max="4618" width="5.75" style="3043" customWidth="1"/>
    <col min="4619" max="4619" width="11.75" style="3043" customWidth="1"/>
    <col min="4620" max="4621" width="10.75" style="3043" customWidth="1"/>
    <col min="4622" max="4622" width="10" style="3043" customWidth="1"/>
    <col min="4623" max="4624" width="10.5" style="3043" bestFit="1" customWidth="1"/>
    <col min="4625" max="4625" width="10" style="3043" customWidth="1"/>
    <col min="4626" max="4626" width="10.125" style="3043" customWidth="1"/>
    <col min="4627" max="4627" width="10" style="3043" customWidth="1"/>
    <col min="4628" max="4628" width="26.125" style="3043" customWidth="1"/>
    <col min="4629" max="4864" width="8.875" style="3043"/>
    <col min="4865" max="4865" width="9.5" style="3043" customWidth="1"/>
    <col min="4866" max="4866" width="8.875" style="3043"/>
    <col min="4867" max="4869" width="12.875" style="3043" customWidth="1"/>
    <col min="4870" max="4870" width="47.5" style="3043" customWidth="1"/>
    <col min="4871" max="4871" width="13" style="3043" customWidth="1"/>
    <col min="4872" max="4873" width="8.875" style="3043"/>
    <col min="4874" max="4874" width="5.75" style="3043" customWidth="1"/>
    <col min="4875" max="4875" width="11.75" style="3043" customWidth="1"/>
    <col min="4876" max="4877" width="10.75" style="3043" customWidth="1"/>
    <col min="4878" max="4878" width="10" style="3043" customWidth="1"/>
    <col min="4879" max="4880" width="10.5" style="3043" bestFit="1" customWidth="1"/>
    <col min="4881" max="4881" width="10" style="3043" customWidth="1"/>
    <col min="4882" max="4882" width="10.125" style="3043" customWidth="1"/>
    <col min="4883" max="4883" width="10" style="3043" customWidth="1"/>
    <col min="4884" max="4884" width="26.125" style="3043" customWidth="1"/>
    <col min="4885" max="5120" width="8.875" style="3043"/>
    <col min="5121" max="5121" width="9.5" style="3043" customWidth="1"/>
    <col min="5122" max="5122" width="8.875" style="3043"/>
    <col min="5123" max="5125" width="12.875" style="3043" customWidth="1"/>
    <col min="5126" max="5126" width="47.5" style="3043" customWidth="1"/>
    <col min="5127" max="5127" width="13" style="3043" customWidth="1"/>
    <col min="5128" max="5129" width="8.875" style="3043"/>
    <col min="5130" max="5130" width="5.75" style="3043" customWidth="1"/>
    <col min="5131" max="5131" width="11.75" style="3043" customWidth="1"/>
    <col min="5132" max="5133" width="10.75" style="3043" customWidth="1"/>
    <col min="5134" max="5134" width="10" style="3043" customWidth="1"/>
    <col min="5135" max="5136" width="10.5" style="3043" bestFit="1" customWidth="1"/>
    <col min="5137" max="5137" width="10" style="3043" customWidth="1"/>
    <col min="5138" max="5138" width="10.125" style="3043" customWidth="1"/>
    <col min="5139" max="5139" width="10" style="3043" customWidth="1"/>
    <col min="5140" max="5140" width="26.125" style="3043" customWidth="1"/>
    <col min="5141" max="5376" width="8.875" style="3043"/>
    <col min="5377" max="5377" width="9.5" style="3043" customWidth="1"/>
    <col min="5378" max="5378" width="8.875" style="3043"/>
    <col min="5379" max="5381" width="12.875" style="3043" customWidth="1"/>
    <col min="5382" max="5382" width="47.5" style="3043" customWidth="1"/>
    <col min="5383" max="5383" width="13" style="3043" customWidth="1"/>
    <col min="5384" max="5385" width="8.875" style="3043"/>
    <col min="5386" max="5386" width="5.75" style="3043" customWidth="1"/>
    <col min="5387" max="5387" width="11.75" style="3043" customWidth="1"/>
    <col min="5388" max="5389" width="10.75" style="3043" customWidth="1"/>
    <col min="5390" max="5390" width="10" style="3043" customWidth="1"/>
    <col min="5391" max="5392" width="10.5" style="3043" bestFit="1" customWidth="1"/>
    <col min="5393" max="5393" width="10" style="3043" customWidth="1"/>
    <col min="5394" max="5394" width="10.125" style="3043" customWidth="1"/>
    <col min="5395" max="5395" width="10" style="3043" customWidth="1"/>
    <col min="5396" max="5396" width="26.125" style="3043" customWidth="1"/>
    <col min="5397" max="5632" width="8.875" style="3043"/>
    <col min="5633" max="5633" width="9.5" style="3043" customWidth="1"/>
    <col min="5634" max="5634" width="8.875" style="3043"/>
    <col min="5635" max="5637" width="12.875" style="3043" customWidth="1"/>
    <col min="5638" max="5638" width="47.5" style="3043" customWidth="1"/>
    <col min="5639" max="5639" width="13" style="3043" customWidth="1"/>
    <col min="5640" max="5641" width="8.875" style="3043"/>
    <col min="5642" max="5642" width="5.75" style="3043" customWidth="1"/>
    <col min="5643" max="5643" width="11.75" style="3043" customWidth="1"/>
    <col min="5644" max="5645" width="10.75" style="3043" customWidth="1"/>
    <col min="5646" max="5646" width="10" style="3043" customWidth="1"/>
    <col min="5647" max="5648" width="10.5" style="3043" bestFit="1" customWidth="1"/>
    <col min="5649" max="5649" width="10" style="3043" customWidth="1"/>
    <col min="5650" max="5650" width="10.125" style="3043" customWidth="1"/>
    <col min="5651" max="5651" width="10" style="3043" customWidth="1"/>
    <col min="5652" max="5652" width="26.125" style="3043" customWidth="1"/>
    <col min="5653" max="5888" width="8.875" style="3043"/>
    <col min="5889" max="5889" width="9.5" style="3043" customWidth="1"/>
    <col min="5890" max="5890" width="8.875" style="3043"/>
    <col min="5891" max="5893" width="12.875" style="3043" customWidth="1"/>
    <col min="5894" max="5894" width="47.5" style="3043" customWidth="1"/>
    <col min="5895" max="5895" width="13" style="3043" customWidth="1"/>
    <col min="5896" max="5897" width="8.875" style="3043"/>
    <col min="5898" max="5898" width="5.75" style="3043" customWidth="1"/>
    <col min="5899" max="5899" width="11.75" style="3043" customWidth="1"/>
    <col min="5900" max="5901" width="10.75" style="3043" customWidth="1"/>
    <col min="5902" max="5902" width="10" style="3043" customWidth="1"/>
    <col min="5903" max="5904" width="10.5" style="3043" bestFit="1" customWidth="1"/>
    <col min="5905" max="5905" width="10" style="3043" customWidth="1"/>
    <col min="5906" max="5906" width="10.125" style="3043" customWidth="1"/>
    <col min="5907" max="5907" width="10" style="3043" customWidth="1"/>
    <col min="5908" max="5908" width="26.125" style="3043" customWidth="1"/>
    <col min="5909" max="6144" width="8.875" style="3043"/>
    <col min="6145" max="6145" width="9.5" style="3043" customWidth="1"/>
    <col min="6146" max="6146" width="8.875" style="3043"/>
    <col min="6147" max="6149" width="12.875" style="3043" customWidth="1"/>
    <col min="6150" max="6150" width="47.5" style="3043" customWidth="1"/>
    <col min="6151" max="6151" width="13" style="3043" customWidth="1"/>
    <col min="6152" max="6153" width="8.875" style="3043"/>
    <col min="6154" max="6154" width="5.75" style="3043" customWidth="1"/>
    <col min="6155" max="6155" width="11.75" style="3043" customWidth="1"/>
    <col min="6156" max="6157" width="10.75" style="3043" customWidth="1"/>
    <col min="6158" max="6158" width="10" style="3043" customWidth="1"/>
    <col min="6159" max="6160" width="10.5" style="3043" bestFit="1" customWidth="1"/>
    <col min="6161" max="6161" width="10" style="3043" customWidth="1"/>
    <col min="6162" max="6162" width="10.125" style="3043" customWidth="1"/>
    <col min="6163" max="6163" width="10" style="3043" customWidth="1"/>
    <col min="6164" max="6164" width="26.125" style="3043" customWidth="1"/>
    <col min="6165" max="6400" width="8.875" style="3043"/>
    <col min="6401" max="6401" width="9.5" style="3043" customWidth="1"/>
    <col min="6402" max="6402" width="8.875" style="3043"/>
    <col min="6403" max="6405" width="12.875" style="3043" customWidth="1"/>
    <col min="6406" max="6406" width="47.5" style="3043" customWidth="1"/>
    <col min="6407" max="6407" width="13" style="3043" customWidth="1"/>
    <col min="6408" max="6409" width="8.875" style="3043"/>
    <col min="6410" max="6410" width="5.75" style="3043" customWidth="1"/>
    <col min="6411" max="6411" width="11.75" style="3043" customWidth="1"/>
    <col min="6412" max="6413" width="10.75" style="3043" customWidth="1"/>
    <col min="6414" max="6414" width="10" style="3043" customWidth="1"/>
    <col min="6415" max="6416" width="10.5" style="3043" bestFit="1" customWidth="1"/>
    <col min="6417" max="6417" width="10" style="3043" customWidth="1"/>
    <col min="6418" max="6418" width="10.125" style="3043" customWidth="1"/>
    <col min="6419" max="6419" width="10" style="3043" customWidth="1"/>
    <col min="6420" max="6420" width="26.125" style="3043" customWidth="1"/>
    <col min="6421" max="6656" width="8.875" style="3043"/>
    <col min="6657" max="6657" width="9.5" style="3043" customWidth="1"/>
    <col min="6658" max="6658" width="8.875" style="3043"/>
    <col min="6659" max="6661" width="12.875" style="3043" customWidth="1"/>
    <col min="6662" max="6662" width="47.5" style="3043" customWidth="1"/>
    <col min="6663" max="6663" width="13" style="3043" customWidth="1"/>
    <col min="6664" max="6665" width="8.875" style="3043"/>
    <col min="6666" max="6666" width="5.75" style="3043" customWidth="1"/>
    <col min="6667" max="6667" width="11.75" style="3043" customWidth="1"/>
    <col min="6668" max="6669" width="10.75" style="3043" customWidth="1"/>
    <col min="6670" max="6670" width="10" style="3043" customWidth="1"/>
    <col min="6671" max="6672" width="10.5" style="3043" bestFit="1" customWidth="1"/>
    <col min="6673" max="6673" width="10" style="3043" customWidth="1"/>
    <col min="6674" max="6674" width="10.125" style="3043" customWidth="1"/>
    <col min="6675" max="6675" width="10" style="3043" customWidth="1"/>
    <col min="6676" max="6676" width="26.125" style="3043" customWidth="1"/>
    <col min="6677" max="6912" width="8.875" style="3043"/>
    <col min="6913" max="6913" width="9.5" style="3043" customWidth="1"/>
    <col min="6914" max="6914" width="8.875" style="3043"/>
    <col min="6915" max="6917" width="12.875" style="3043" customWidth="1"/>
    <col min="6918" max="6918" width="47.5" style="3043" customWidth="1"/>
    <col min="6919" max="6919" width="13" style="3043" customWidth="1"/>
    <col min="6920" max="6921" width="8.875" style="3043"/>
    <col min="6922" max="6922" width="5.75" style="3043" customWidth="1"/>
    <col min="6923" max="6923" width="11.75" style="3043" customWidth="1"/>
    <col min="6924" max="6925" width="10.75" style="3043" customWidth="1"/>
    <col min="6926" max="6926" width="10" style="3043" customWidth="1"/>
    <col min="6927" max="6928" width="10.5" style="3043" bestFit="1" customWidth="1"/>
    <col min="6929" max="6929" width="10" style="3043" customWidth="1"/>
    <col min="6930" max="6930" width="10.125" style="3043" customWidth="1"/>
    <col min="6931" max="6931" width="10" style="3043" customWidth="1"/>
    <col min="6932" max="6932" width="26.125" style="3043" customWidth="1"/>
    <col min="6933" max="7168" width="8.875" style="3043"/>
    <col min="7169" max="7169" width="9.5" style="3043" customWidth="1"/>
    <col min="7170" max="7170" width="8.875" style="3043"/>
    <col min="7171" max="7173" width="12.875" style="3043" customWidth="1"/>
    <col min="7174" max="7174" width="47.5" style="3043" customWidth="1"/>
    <col min="7175" max="7175" width="13" style="3043" customWidth="1"/>
    <col min="7176" max="7177" width="8.875" style="3043"/>
    <col min="7178" max="7178" width="5.75" style="3043" customWidth="1"/>
    <col min="7179" max="7179" width="11.75" style="3043" customWidth="1"/>
    <col min="7180" max="7181" width="10.75" style="3043" customWidth="1"/>
    <col min="7182" max="7182" width="10" style="3043" customWidth="1"/>
    <col min="7183" max="7184" width="10.5" style="3043" bestFit="1" customWidth="1"/>
    <col min="7185" max="7185" width="10" style="3043" customWidth="1"/>
    <col min="7186" max="7186" width="10.125" style="3043" customWidth="1"/>
    <col min="7187" max="7187" width="10" style="3043" customWidth="1"/>
    <col min="7188" max="7188" width="26.125" style="3043" customWidth="1"/>
    <col min="7189" max="7424" width="8.875" style="3043"/>
    <col min="7425" max="7425" width="9.5" style="3043" customWidth="1"/>
    <col min="7426" max="7426" width="8.875" style="3043"/>
    <col min="7427" max="7429" width="12.875" style="3043" customWidth="1"/>
    <col min="7430" max="7430" width="47.5" style="3043" customWidth="1"/>
    <col min="7431" max="7431" width="13" style="3043" customWidth="1"/>
    <col min="7432" max="7433" width="8.875" style="3043"/>
    <col min="7434" max="7434" width="5.75" style="3043" customWidth="1"/>
    <col min="7435" max="7435" width="11.75" style="3043" customWidth="1"/>
    <col min="7436" max="7437" width="10.75" style="3043" customWidth="1"/>
    <col min="7438" max="7438" width="10" style="3043" customWidth="1"/>
    <col min="7439" max="7440" width="10.5" style="3043" bestFit="1" customWidth="1"/>
    <col min="7441" max="7441" width="10" style="3043" customWidth="1"/>
    <col min="7442" max="7442" width="10.125" style="3043" customWidth="1"/>
    <col min="7443" max="7443" width="10" style="3043" customWidth="1"/>
    <col min="7444" max="7444" width="26.125" style="3043" customWidth="1"/>
    <col min="7445" max="7680" width="8.875" style="3043"/>
    <col min="7681" max="7681" width="9.5" style="3043" customWidth="1"/>
    <col min="7682" max="7682" width="8.875" style="3043"/>
    <col min="7683" max="7685" width="12.875" style="3043" customWidth="1"/>
    <col min="7686" max="7686" width="47.5" style="3043" customWidth="1"/>
    <col min="7687" max="7687" width="13" style="3043" customWidth="1"/>
    <col min="7688" max="7689" width="8.875" style="3043"/>
    <col min="7690" max="7690" width="5.75" style="3043" customWidth="1"/>
    <col min="7691" max="7691" width="11.75" style="3043" customWidth="1"/>
    <col min="7692" max="7693" width="10.75" style="3043" customWidth="1"/>
    <col min="7694" max="7694" width="10" style="3043" customWidth="1"/>
    <col min="7695" max="7696" width="10.5" style="3043" bestFit="1" customWidth="1"/>
    <col min="7697" max="7697" width="10" style="3043" customWidth="1"/>
    <col min="7698" max="7698" width="10.125" style="3043" customWidth="1"/>
    <col min="7699" max="7699" width="10" style="3043" customWidth="1"/>
    <col min="7700" max="7700" width="26.125" style="3043" customWidth="1"/>
    <col min="7701" max="7936" width="8.875" style="3043"/>
    <col min="7937" max="7937" width="9.5" style="3043" customWidth="1"/>
    <col min="7938" max="7938" width="8.875" style="3043"/>
    <col min="7939" max="7941" width="12.875" style="3043" customWidth="1"/>
    <col min="7942" max="7942" width="47.5" style="3043" customWidth="1"/>
    <col min="7943" max="7943" width="13" style="3043" customWidth="1"/>
    <col min="7944" max="7945" width="8.875" style="3043"/>
    <col min="7946" max="7946" width="5.75" style="3043" customWidth="1"/>
    <col min="7947" max="7947" width="11.75" style="3043" customWidth="1"/>
    <col min="7948" max="7949" width="10.75" style="3043" customWidth="1"/>
    <col min="7950" max="7950" width="10" style="3043" customWidth="1"/>
    <col min="7951" max="7952" width="10.5" style="3043" bestFit="1" customWidth="1"/>
    <col min="7953" max="7953" width="10" style="3043" customWidth="1"/>
    <col min="7954" max="7954" width="10.125" style="3043" customWidth="1"/>
    <col min="7955" max="7955" width="10" style="3043" customWidth="1"/>
    <col min="7956" max="7956" width="26.125" style="3043" customWidth="1"/>
    <col min="7957" max="8192" width="8.875" style="3043"/>
    <col min="8193" max="8193" width="9.5" style="3043" customWidth="1"/>
    <col min="8194" max="8194" width="8.875" style="3043"/>
    <col min="8195" max="8197" width="12.875" style="3043" customWidth="1"/>
    <col min="8198" max="8198" width="47.5" style="3043" customWidth="1"/>
    <col min="8199" max="8199" width="13" style="3043" customWidth="1"/>
    <col min="8200" max="8201" width="8.875" style="3043"/>
    <col min="8202" max="8202" width="5.75" style="3043" customWidth="1"/>
    <col min="8203" max="8203" width="11.75" style="3043" customWidth="1"/>
    <col min="8204" max="8205" width="10.75" style="3043" customWidth="1"/>
    <col min="8206" max="8206" width="10" style="3043" customWidth="1"/>
    <col min="8207" max="8208" width="10.5" style="3043" bestFit="1" customWidth="1"/>
    <col min="8209" max="8209" width="10" style="3043" customWidth="1"/>
    <col min="8210" max="8210" width="10.125" style="3043" customWidth="1"/>
    <col min="8211" max="8211" width="10" style="3043" customWidth="1"/>
    <col min="8212" max="8212" width="26.125" style="3043" customWidth="1"/>
    <col min="8213" max="8448" width="8.875" style="3043"/>
    <col min="8449" max="8449" width="9.5" style="3043" customWidth="1"/>
    <col min="8450" max="8450" width="8.875" style="3043"/>
    <col min="8451" max="8453" width="12.875" style="3043" customWidth="1"/>
    <col min="8454" max="8454" width="47.5" style="3043" customWidth="1"/>
    <col min="8455" max="8455" width="13" style="3043" customWidth="1"/>
    <col min="8456" max="8457" width="8.875" style="3043"/>
    <col min="8458" max="8458" width="5.75" style="3043" customWidth="1"/>
    <col min="8459" max="8459" width="11.75" style="3043" customWidth="1"/>
    <col min="8460" max="8461" width="10.75" style="3043" customWidth="1"/>
    <col min="8462" max="8462" width="10" style="3043" customWidth="1"/>
    <col min="8463" max="8464" width="10.5" style="3043" bestFit="1" customWidth="1"/>
    <col min="8465" max="8465" width="10" style="3043" customWidth="1"/>
    <col min="8466" max="8466" width="10.125" style="3043" customWidth="1"/>
    <col min="8467" max="8467" width="10" style="3043" customWidth="1"/>
    <col min="8468" max="8468" width="26.125" style="3043" customWidth="1"/>
    <col min="8469" max="8704" width="8.875" style="3043"/>
    <col min="8705" max="8705" width="9.5" style="3043" customWidth="1"/>
    <col min="8706" max="8706" width="8.875" style="3043"/>
    <col min="8707" max="8709" width="12.875" style="3043" customWidth="1"/>
    <col min="8710" max="8710" width="47.5" style="3043" customWidth="1"/>
    <col min="8711" max="8711" width="13" style="3043" customWidth="1"/>
    <col min="8712" max="8713" width="8.875" style="3043"/>
    <col min="8714" max="8714" width="5.75" style="3043" customWidth="1"/>
    <col min="8715" max="8715" width="11.75" style="3043" customWidth="1"/>
    <col min="8716" max="8717" width="10.75" style="3043" customWidth="1"/>
    <col min="8718" max="8718" width="10" style="3043" customWidth="1"/>
    <col min="8719" max="8720" width="10.5" style="3043" bestFit="1" customWidth="1"/>
    <col min="8721" max="8721" width="10" style="3043" customWidth="1"/>
    <col min="8722" max="8722" width="10.125" style="3043" customWidth="1"/>
    <col min="8723" max="8723" width="10" style="3043" customWidth="1"/>
    <col min="8724" max="8724" width="26.125" style="3043" customWidth="1"/>
    <col min="8725" max="8960" width="8.875" style="3043"/>
    <col min="8961" max="8961" width="9.5" style="3043" customWidth="1"/>
    <col min="8962" max="8962" width="8.875" style="3043"/>
    <col min="8963" max="8965" width="12.875" style="3043" customWidth="1"/>
    <col min="8966" max="8966" width="47.5" style="3043" customWidth="1"/>
    <col min="8967" max="8967" width="13" style="3043" customWidth="1"/>
    <col min="8968" max="8969" width="8.875" style="3043"/>
    <col min="8970" max="8970" width="5.75" style="3043" customWidth="1"/>
    <col min="8971" max="8971" width="11.75" style="3043" customWidth="1"/>
    <col min="8972" max="8973" width="10.75" style="3043" customWidth="1"/>
    <col min="8974" max="8974" width="10" style="3043" customWidth="1"/>
    <col min="8975" max="8976" width="10.5" style="3043" bestFit="1" customWidth="1"/>
    <col min="8977" max="8977" width="10" style="3043" customWidth="1"/>
    <col min="8978" max="8978" width="10.125" style="3043" customWidth="1"/>
    <col min="8979" max="8979" width="10" style="3043" customWidth="1"/>
    <col min="8980" max="8980" width="26.125" style="3043" customWidth="1"/>
    <col min="8981" max="9216" width="8.875" style="3043"/>
    <col min="9217" max="9217" width="9.5" style="3043" customWidth="1"/>
    <col min="9218" max="9218" width="8.875" style="3043"/>
    <col min="9219" max="9221" width="12.875" style="3043" customWidth="1"/>
    <col min="9222" max="9222" width="47.5" style="3043" customWidth="1"/>
    <col min="9223" max="9223" width="13" style="3043" customWidth="1"/>
    <col min="9224" max="9225" width="8.875" style="3043"/>
    <col min="9226" max="9226" width="5.75" style="3043" customWidth="1"/>
    <col min="9227" max="9227" width="11.75" style="3043" customWidth="1"/>
    <col min="9228" max="9229" width="10.75" style="3043" customWidth="1"/>
    <col min="9230" max="9230" width="10" style="3043" customWidth="1"/>
    <col min="9231" max="9232" width="10.5" style="3043" bestFit="1" customWidth="1"/>
    <col min="9233" max="9233" width="10" style="3043" customWidth="1"/>
    <col min="9234" max="9234" width="10.125" style="3043" customWidth="1"/>
    <col min="9235" max="9235" width="10" style="3043" customWidth="1"/>
    <col min="9236" max="9236" width="26.125" style="3043" customWidth="1"/>
    <col min="9237" max="9472" width="8.875" style="3043"/>
    <col min="9473" max="9473" width="9.5" style="3043" customWidth="1"/>
    <col min="9474" max="9474" width="8.875" style="3043"/>
    <col min="9475" max="9477" width="12.875" style="3043" customWidth="1"/>
    <col min="9478" max="9478" width="47.5" style="3043" customWidth="1"/>
    <col min="9479" max="9479" width="13" style="3043" customWidth="1"/>
    <col min="9480" max="9481" width="8.875" style="3043"/>
    <col min="9482" max="9482" width="5.75" style="3043" customWidth="1"/>
    <col min="9483" max="9483" width="11.75" style="3043" customWidth="1"/>
    <col min="9484" max="9485" width="10.75" style="3043" customWidth="1"/>
    <col min="9486" max="9486" width="10" style="3043" customWidth="1"/>
    <col min="9487" max="9488" width="10.5" style="3043" bestFit="1" customWidth="1"/>
    <col min="9489" max="9489" width="10" style="3043" customWidth="1"/>
    <col min="9490" max="9490" width="10.125" style="3043" customWidth="1"/>
    <col min="9491" max="9491" width="10" style="3043" customWidth="1"/>
    <col min="9492" max="9492" width="26.125" style="3043" customWidth="1"/>
    <col min="9493" max="9728" width="8.875" style="3043"/>
    <col min="9729" max="9729" width="9.5" style="3043" customWidth="1"/>
    <col min="9730" max="9730" width="8.875" style="3043"/>
    <col min="9731" max="9733" width="12.875" style="3043" customWidth="1"/>
    <col min="9734" max="9734" width="47.5" style="3043" customWidth="1"/>
    <col min="9735" max="9735" width="13" style="3043" customWidth="1"/>
    <col min="9736" max="9737" width="8.875" style="3043"/>
    <col min="9738" max="9738" width="5.75" style="3043" customWidth="1"/>
    <col min="9739" max="9739" width="11.75" style="3043" customWidth="1"/>
    <col min="9740" max="9741" width="10.75" style="3043" customWidth="1"/>
    <col min="9742" max="9742" width="10" style="3043" customWidth="1"/>
    <col min="9743" max="9744" width="10.5" style="3043" bestFit="1" customWidth="1"/>
    <col min="9745" max="9745" width="10" style="3043" customWidth="1"/>
    <col min="9746" max="9746" width="10.125" style="3043" customWidth="1"/>
    <col min="9747" max="9747" width="10" style="3043" customWidth="1"/>
    <col min="9748" max="9748" width="26.125" style="3043" customWidth="1"/>
    <col min="9749" max="9984" width="8.875" style="3043"/>
    <col min="9985" max="9985" width="9.5" style="3043" customWidth="1"/>
    <col min="9986" max="9986" width="8.875" style="3043"/>
    <col min="9987" max="9989" width="12.875" style="3043" customWidth="1"/>
    <col min="9990" max="9990" width="47.5" style="3043" customWidth="1"/>
    <col min="9991" max="9991" width="13" style="3043" customWidth="1"/>
    <col min="9992" max="9993" width="8.875" style="3043"/>
    <col min="9994" max="9994" width="5.75" style="3043" customWidth="1"/>
    <col min="9995" max="9995" width="11.75" style="3043" customWidth="1"/>
    <col min="9996" max="9997" width="10.75" style="3043" customWidth="1"/>
    <col min="9998" max="9998" width="10" style="3043" customWidth="1"/>
    <col min="9999" max="10000" width="10.5" style="3043" bestFit="1" customWidth="1"/>
    <col min="10001" max="10001" width="10" style="3043" customWidth="1"/>
    <col min="10002" max="10002" width="10.125" style="3043" customWidth="1"/>
    <col min="10003" max="10003" width="10" style="3043" customWidth="1"/>
    <col min="10004" max="10004" width="26.125" style="3043" customWidth="1"/>
    <col min="10005" max="10240" width="8.875" style="3043"/>
    <col min="10241" max="10241" width="9.5" style="3043" customWidth="1"/>
    <col min="10242" max="10242" width="8.875" style="3043"/>
    <col min="10243" max="10245" width="12.875" style="3043" customWidth="1"/>
    <col min="10246" max="10246" width="47.5" style="3043" customWidth="1"/>
    <col min="10247" max="10247" width="13" style="3043" customWidth="1"/>
    <col min="10248" max="10249" width="8.875" style="3043"/>
    <col min="10250" max="10250" width="5.75" style="3043" customWidth="1"/>
    <col min="10251" max="10251" width="11.75" style="3043" customWidth="1"/>
    <col min="10252" max="10253" width="10.75" style="3043" customWidth="1"/>
    <col min="10254" max="10254" width="10" style="3043" customWidth="1"/>
    <col min="10255" max="10256" width="10.5" style="3043" bestFit="1" customWidth="1"/>
    <col min="10257" max="10257" width="10" style="3043" customWidth="1"/>
    <col min="10258" max="10258" width="10.125" style="3043" customWidth="1"/>
    <col min="10259" max="10259" width="10" style="3043" customWidth="1"/>
    <col min="10260" max="10260" width="26.125" style="3043" customWidth="1"/>
    <col min="10261" max="10496" width="8.875" style="3043"/>
    <col min="10497" max="10497" width="9.5" style="3043" customWidth="1"/>
    <col min="10498" max="10498" width="8.875" style="3043"/>
    <col min="10499" max="10501" width="12.875" style="3043" customWidth="1"/>
    <col min="10502" max="10502" width="47.5" style="3043" customWidth="1"/>
    <col min="10503" max="10503" width="13" style="3043" customWidth="1"/>
    <col min="10504" max="10505" width="8.875" style="3043"/>
    <col min="10506" max="10506" width="5.75" style="3043" customWidth="1"/>
    <col min="10507" max="10507" width="11.75" style="3043" customWidth="1"/>
    <col min="10508" max="10509" width="10.75" style="3043" customWidth="1"/>
    <col min="10510" max="10510" width="10" style="3043" customWidth="1"/>
    <col min="10511" max="10512" width="10.5" style="3043" bestFit="1" customWidth="1"/>
    <col min="10513" max="10513" width="10" style="3043" customWidth="1"/>
    <col min="10514" max="10514" width="10.125" style="3043" customWidth="1"/>
    <col min="10515" max="10515" width="10" style="3043" customWidth="1"/>
    <col min="10516" max="10516" width="26.125" style="3043" customWidth="1"/>
    <col min="10517" max="10752" width="8.875" style="3043"/>
    <col min="10753" max="10753" width="9.5" style="3043" customWidth="1"/>
    <col min="10754" max="10754" width="8.875" style="3043"/>
    <col min="10755" max="10757" width="12.875" style="3043" customWidth="1"/>
    <col min="10758" max="10758" width="47.5" style="3043" customWidth="1"/>
    <col min="10759" max="10759" width="13" style="3043" customWidth="1"/>
    <col min="10760" max="10761" width="8.875" style="3043"/>
    <col min="10762" max="10762" width="5.75" style="3043" customWidth="1"/>
    <col min="10763" max="10763" width="11.75" style="3043" customWidth="1"/>
    <col min="10764" max="10765" width="10.75" style="3043" customWidth="1"/>
    <col min="10766" max="10766" width="10" style="3043" customWidth="1"/>
    <col min="10767" max="10768" width="10.5" style="3043" bestFit="1" customWidth="1"/>
    <col min="10769" max="10769" width="10" style="3043" customWidth="1"/>
    <col min="10770" max="10770" width="10.125" style="3043" customWidth="1"/>
    <col min="10771" max="10771" width="10" style="3043" customWidth="1"/>
    <col min="10772" max="10772" width="26.125" style="3043" customWidth="1"/>
    <col min="10773" max="11008" width="8.875" style="3043"/>
    <col min="11009" max="11009" width="9.5" style="3043" customWidth="1"/>
    <col min="11010" max="11010" width="8.875" style="3043"/>
    <col min="11011" max="11013" width="12.875" style="3043" customWidth="1"/>
    <col min="11014" max="11014" width="47.5" style="3043" customWidth="1"/>
    <col min="11015" max="11015" width="13" style="3043" customWidth="1"/>
    <col min="11016" max="11017" width="8.875" style="3043"/>
    <col min="11018" max="11018" width="5.75" style="3043" customWidth="1"/>
    <col min="11019" max="11019" width="11.75" style="3043" customWidth="1"/>
    <col min="11020" max="11021" width="10.75" style="3043" customWidth="1"/>
    <col min="11022" max="11022" width="10" style="3043" customWidth="1"/>
    <col min="11023" max="11024" width="10.5" style="3043" bestFit="1" customWidth="1"/>
    <col min="11025" max="11025" width="10" style="3043" customWidth="1"/>
    <col min="11026" max="11026" width="10.125" style="3043" customWidth="1"/>
    <col min="11027" max="11027" width="10" style="3043" customWidth="1"/>
    <col min="11028" max="11028" width="26.125" style="3043" customWidth="1"/>
    <col min="11029" max="11264" width="8.875" style="3043"/>
    <col min="11265" max="11265" width="9.5" style="3043" customWidth="1"/>
    <col min="11266" max="11266" width="8.875" style="3043"/>
    <col min="11267" max="11269" width="12.875" style="3043" customWidth="1"/>
    <col min="11270" max="11270" width="47.5" style="3043" customWidth="1"/>
    <col min="11271" max="11271" width="13" style="3043" customWidth="1"/>
    <col min="11272" max="11273" width="8.875" style="3043"/>
    <col min="11274" max="11274" width="5.75" style="3043" customWidth="1"/>
    <col min="11275" max="11275" width="11.75" style="3043" customWidth="1"/>
    <col min="11276" max="11277" width="10.75" style="3043" customWidth="1"/>
    <col min="11278" max="11278" width="10" style="3043" customWidth="1"/>
    <col min="11279" max="11280" width="10.5" style="3043" bestFit="1" customWidth="1"/>
    <col min="11281" max="11281" width="10" style="3043" customWidth="1"/>
    <col min="11282" max="11282" width="10.125" style="3043" customWidth="1"/>
    <col min="11283" max="11283" width="10" style="3043" customWidth="1"/>
    <col min="11284" max="11284" width="26.125" style="3043" customWidth="1"/>
    <col min="11285" max="11520" width="8.875" style="3043"/>
    <col min="11521" max="11521" width="9.5" style="3043" customWidth="1"/>
    <col min="11522" max="11522" width="8.875" style="3043"/>
    <col min="11523" max="11525" width="12.875" style="3043" customWidth="1"/>
    <col min="11526" max="11526" width="47.5" style="3043" customWidth="1"/>
    <col min="11527" max="11527" width="13" style="3043" customWidth="1"/>
    <col min="11528" max="11529" width="8.875" style="3043"/>
    <col min="11530" max="11530" width="5.75" style="3043" customWidth="1"/>
    <col min="11531" max="11531" width="11.75" style="3043" customWidth="1"/>
    <col min="11532" max="11533" width="10.75" style="3043" customWidth="1"/>
    <col min="11534" max="11534" width="10" style="3043" customWidth="1"/>
    <col min="11535" max="11536" width="10.5" style="3043" bestFit="1" customWidth="1"/>
    <col min="11537" max="11537" width="10" style="3043" customWidth="1"/>
    <col min="11538" max="11538" width="10.125" style="3043" customWidth="1"/>
    <col min="11539" max="11539" width="10" style="3043" customWidth="1"/>
    <col min="11540" max="11540" width="26.125" style="3043" customWidth="1"/>
    <col min="11541" max="11776" width="8.875" style="3043"/>
    <col min="11777" max="11777" width="9.5" style="3043" customWidth="1"/>
    <col min="11778" max="11778" width="8.875" style="3043"/>
    <col min="11779" max="11781" width="12.875" style="3043" customWidth="1"/>
    <col min="11782" max="11782" width="47.5" style="3043" customWidth="1"/>
    <col min="11783" max="11783" width="13" style="3043" customWidth="1"/>
    <col min="11784" max="11785" width="8.875" style="3043"/>
    <col min="11786" max="11786" width="5.75" style="3043" customWidth="1"/>
    <col min="11787" max="11787" width="11.75" style="3043" customWidth="1"/>
    <col min="11788" max="11789" width="10.75" style="3043" customWidth="1"/>
    <col min="11790" max="11790" width="10" style="3043" customWidth="1"/>
    <col min="11791" max="11792" width="10.5" style="3043" bestFit="1" customWidth="1"/>
    <col min="11793" max="11793" width="10" style="3043" customWidth="1"/>
    <col min="11794" max="11794" width="10.125" style="3043" customWidth="1"/>
    <col min="11795" max="11795" width="10" style="3043" customWidth="1"/>
    <col min="11796" max="11796" width="26.125" style="3043" customWidth="1"/>
    <col min="11797" max="12032" width="8.875" style="3043"/>
    <col min="12033" max="12033" width="9.5" style="3043" customWidth="1"/>
    <col min="12034" max="12034" width="8.875" style="3043"/>
    <col min="12035" max="12037" width="12.875" style="3043" customWidth="1"/>
    <col min="12038" max="12038" width="47.5" style="3043" customWidth="1"/>
    <col min="12039" max="12039" width="13" style="3043" customWidth="1"/>
    <col min="12040" max="12041" width="8.875" style="3043"/>
    <col min="12042" max="12042" width="5.75" style="3043" customWidth="1"/>
    <col min="12043" max="12043" width="11.75" style="3043" customWidth="1"/>
    <col min="12044" max="12045" width="10.75" style="3043" customWidth="1"/>
    <col min="12046" max="12046" width="10" style="3043" customWidth="1"/>
    <col min="12047" max="12048" width="10.5" style="3043" bestFit="1" customWidth="1"/>
    <col min="12049" max="12049" width="10" style="3043" customWidth="1"/>
    <col min="12050" max="12050" width="10.125" style="3043" customWidth="1"/>
    <col min="12051" max="12051" width="10" style="3043" customWidth="1"/>
    <col min="12052" max="12052" width="26.125" style="3043" customWidth="1"/>
    <col min="12053" max="12288" width="8.875" style="3043"/>
    <col min="12289" max="12289" width="9.5" style="3043" customWidth="1"/>
    <col min="12290" max="12290" width="8.875" style="3043"/>
    <col min="12291" max="12293" width="12.875" style="3043" customWidth="1"/>
    <col min="12294" max="12294" width="47.5" style="3043" customWidth="1"/>
    <col min="12295" max="12295" width="13" style="3043" customWidth="1"/>
    <col min="12296" max="12297" width="8.875" style="3043"/>
    <col min="12298" max="12298" width="5.75" style="3043" customWidth="1"/>
    <col min="12299" max="12299" width="11.75" style="3043" customWidth="1"/>
    <col min="12300" max="12301" width="10.75" style="3043" customWidth="1"/>
    <col min="12302" max="12302" width="10" style="3043" customWidth="1"/>
    <col min="12303" max="12304" width="10.5" style="3043" bestFit="1" customWidth="1"/>
    <col min="12305" max="12305" width="10" style="3043" customWidth="1"/>
    <col min="12306" max="12306" width="10.125" style="3043" customWidth="1"/>
    <col min="12307" max="12307" width="10" style="3043" customWidth="1"/>
    <col min="12308" max="12308" width="26.125" style="3043" customWidth="1"/>
    <col min="12309" max="12544" width="8.875" style="3043"/>
    <col min="12545" max="12545" width="9.5" style="3043" customWidth="1"/>
    <col min="12546" max="12546" width="8.875" style="3043"/>
    <col min="12547" max="12549" width="12.875" style="3043" customWidth="1"/>
    <col min="12550" max="12550" width="47.5" style="3043" customWidth="1"/>
    <col min="12551" max="12551" width="13" style="3043" customWidth="1"/>
    <col min="12552" max="12553" width="8.875" style="3043"/>
    <col min="12554" max="12554" width="5.75" style="3043" customWidth="1"/>
    <col min="12555" max="12555" width="11.75" style="3043" customWidth="1"/>
    <col min="12556" max="12557" width="10.75" style="3043" customWidth="1"/>
    <col min="12558" max="12558" width="10" style="3043" customWidth="1"/>
    <col min="12559" max="12560" width="10.5" style="3043" bestFit="1" customWidth="1"/>
    <col min="12561" max="12561" width="10" style="3043" customWidth="1"/>
    <col min="12562" max="12562" width="10.125" style="3043" customWidth="1"/>
    <col min="12563" max="12563" width="10" style="3043" customWidth="1"/>
    <col min="12564" max="12564" width="26.125" style="3043" customWidth="1"/>
    <col min="12565" max="12800" width="8.875" style="3043"/>
    <col min="12801" max="12801" width="9.5" style="3043" customWidth="1"/>
    <col min="12802" max="12802" width="8.875" style="3043"/>
    <col min="12803" max="12805" width="12.875" style="3043" customWidth="1"/>
    <col min="12806" max="12806" width="47.5" style="3043" customWidth="1"/>
    <col min="12807" max="12807" width="13" style="3043" customWidth="1"/>
    <col min="12808" max="12809" width="8.875" style="3043"/>
    <col min="12810" max="12810" width="5.75" style="3043" customWidth="1"/>
    <col min="12811" max="12811" width="11.75" style="3043" customWidth="1"/>
    <col min="12812" max="12813" width="10.75" style="3043" customWidth="1"/>
    <col min="12814" max="12814" width="10" style="3043" customWidth="1"/>
    <col min="12815" max="12816" width="10.5" style="3043" bestFit="1" customWidth="1"/>
    <col min="12817" max="12817" width="10" style="3043" customWidth="1"/>
    <col min="12818" max="12818" width="10.125" style="3043" customWidth="1"/>
    <col min="12819" max="12819" width="10" style="3043" customWidth="1"/>
    <col min="12820" max="12820" width="26.125" style="3043" customWidth="1"/>
    <col min="12821" max="13056" width="8.875" style="3043"/>
    <col min="13057" max="13057" width="9.5" style="3043" customWidth="1"/>
    <col min="13058" max="13058" width="8.875" style="3043"/>
    <col min="13059" max="13061" width="12.875" style="3043" customWidth="1"/>
    <col min="13062" max="13062" width="47.5" style="3043" customWidth="1"/>
    <col min="13063" max="13063" width="13" style="3043" customWidth="1"/>
    <col min="13064" max="13065" width="8.875" style="3043"/>
    <col min="13066" max="13066" width="5.75" style="3043" customWidth="1"/>
    <col min="13067" max="13067" width="11.75" style="3043" customWidth="1"/>
    <col min="13068" max="13069" width="10.75" style="3043" customWidth="1"/>
    <col min="13070" max="13070" width="10" style="3043" customWidth="1"/>
    <col min="13071" max="13072" width="10.5" style="3043" bestFit="1" customWidth="1"/>
    <col min="13073" max="13073" width="10" style="3043" customWidth="1"/>
    <col min="13074" max="13074" width="10.125" style="3043" customWidth="1"/>
    <col min="13075" max="13075" width="10" style="3043" customWidth="1"/>
    <col min="13076" max="13076" width="26.125" style="3043" customWidth="1"/>
    <col min="13077" max="13312" width="8.875" style="3043"/>
    <col min="13313" max="13313" width="9.5" style="3043" customWidth="1"/>
    <col min="13314" max="13314" width="8.875" style="3043"/>
    <col min="13315" max="13317" width="12.875" style="3043" customWidth="1"/>
    <col min="13318" max="13318" width="47.5" style="3043" customWidth="1"/>
    <col min="13319" max="13319" width="13" style="3043" customWidth="1"/>
    <col min="13320" max="13321" width="8.875" style="3043"/>
    <col min="13322" max="13322" width="5.75" style="3043" customWidth="1"/>
    <col min="13323" max="13323" width="11.75" style="3043" customWidth="1"/>
    <col min="13324" max="13325" width="10.75" style="3043" customWidth="1"/>
    <col min="13326" max="13326" width="10" style="3043" customWidth="1"/>
    <col min="13327" max="13328" width="10.5" style="3043" bestFit="1" customWidth="1"/>
    <col min="13329" max="13329" width="10" style="3043" customWidth="1"/>
    <col min="13330" max="13330" width="10.125" style="3043" customWidth="1"/>
    <col min="13331" max="13331" width="10" style="3043" customWidth="1"/>
    <col min="13332" max="13332" width="26.125" style="3043" customWidth="1"/>
    <col min="13333" max="13568" width="8.875" style="3043"/>
    <col min="13569" max="13569" width="9.5" style="3043" customWidth="1"/>
    <col min="13570" max="13570" width="8.875" style="3043"/>
    <col min="13571" max="13573" width="12.875" style="3043" customWidth="1"/>
    <col min="13574" max="13574" width="47.5" style="3043" customWidth="1"/>
    <col min="13575" max="13575" width="13" style="3043" customWidth="1"/>
    <col min="13576" max="13577" width="8.875" style="3043"/>
    <col min="13578" max="13578" width="5.75" style="3043" customWidth="1"/>
    <col min="13579" max="13579" width="11.75" style="3043" customWidth="1"/>
    <col min="13580" max="13581" width="10.75" style="3043" customWidth="1"/>
    <col min="13582" max="13582" width="10" style="3043" customWidth="1"/>
    <col min="13583" max="13584" width="10.5" style="3043" bestFit="1" customWidth="1"/>
    <col min="13585" max="13585" width="10" style="3043" customWidth="1"/>
    <col min="13586" max="13586" width="10.125" style="3043" customWidth="1"/>
    <col min="13587" max="13587" width="10" style="3043" customWidth="1"/>
    <col min="13588" max="13588" width="26.125" style="3043" customWidth="1"/>
    <col min="13589" max="13824" width="8.875" style="3043"/>
    <col min="13825" max="13825" width="9.5" style="3043" customWidth="1"/>
    <col min="13826" max="13826" width="8.875" style="3043"/>
    <col min="13827" max="13829" width="12.875" style="3043" customWidth="1"/>
    <col min="13830" max="13830" width="47.5" style="3043" customWidth="1"/>
    <col min="13831" max="13831" width="13" style="3043" customWidth="1"/>
    <col min="13832" max="13833" width="8.875" style="3043"/>
    <col min="13834" max="13834" width="5.75" style="3043" customWidth="1"/>
    <col min="13835" max="13835" width="11.75" style="3043" customWidth="1"/>
    <col min="13836" max="13837" width="10.75" style="3043" customWidth="1"/>
    <col min="13838" max="13838" width="10" style="3043" customWidth="1"/>
    <col min="13839" max="13840" width="10.5" style="3043" bestFit="1" customWidth="1"/>
    <col min="13841" max="13841" width="10" style="3043" customWidth="1"/>
    <col min="13842" max="13842" width="10.125" style="3043" customWidth="1"/>
    <col min="13843" max="13843" width="10" style="3043" customWidth="1"/>
    <col min="13844" max="13844" width="26.125" style="3043" customWidth="1"/>
    <col min="13845" max="14080" width="8.875" style="3043"/>
    <col min="14081" max="14081" width="9.5" style="3043" customWidth="1"/>
    <col min="14082" max="14082" width="8.875" style="3043"/>
    <col min="14083" max="14085" width="12.875" style="3043" customWidth="1"/>
    <col min="14086" max="14086" width="47.5" style="3043" customWidth="1"/>
    <col min="14087" max="14087" width="13" style="3043" customWidth="1"/>
    <col min="14088" max="14089" width="8.875" style="3043"/>
    <col min="14090" max="14090" width="5.75" style="3043" customWidth="1"/>
    <col min="14091" max="14091" width="11.75" style="3043" customWidth="1"/>
    <col min="14092" max="14093" width="10.75" style="3043" customWidth="1"/>
    <col min="14094" max="14094" width="10" style="3043" customWidth="1"/>
    <col min="14095" max="14096" width="10.5" style="3043" bestFit="1" customWidth="1"/>
    <col min="14097" max="14097" width="10" style="3043" customWidth="1"/>
    <col min="14098" max="14098" width="10.125" style="3043" customWidth="1"/>
    <col min="14099" max="14099" width="10" style="3043" customWidth="1"/>
    <col min="14100" max="14100" width="26.125" style="3043" customWidth="1"/>
    <col min="14101" max="14336" width="8.875" style="3043"/>
    <col min="14337" max="14337" width="9.5" style="3043" customWidth="1"/>
    <col min="14338" max="14338" width="8.875" style="3043"/>
    <col min="14339" max="14341" width="12.875" style="3043" customWidth="1"/>
    <col min="14342" max="14342" width="47.5" style="3043" customWidth="1"/>
    <col min="14343" max="14343" width="13" style="3043" customWidth="1"/>
    <col min="14344" max="14345" width="8.875" style="3043"/>
    <col min="14346" max="14346" width="5.75" style="3043" customWidth="1"/>
    <col min="14347" max="14347" width="11.75" style="3043" customWidth="1"/>
    <col min="14348" max="14349" width="10.75" style="3043" customWidth="1"/>
    <col min="14350" max="14350" width="10" style="3043" customWidth="1"/>
    <col min="14351" max="14352" width="10.5" style="3043" bestFit="1" customWidth="1"/>
    <col min="14353" max="14353" width="10" style="3043" customWidth="1"/>
    <col min="14354" max="14354" width="10.125" style="3043" customWidth="1"/>
    <col min="14355" max="14355" width="10" style="3043" customWidth="1"/>
    <col min="14356" max="14356" width="26.125" style="3043" customWidth="1"/>
    <col min="14357" max="14592" width="8.875" style="3043"/>
    <col min="14593" max="14593" width="9.5" style="3043" customWidth="1"/>
    <col min="14594" max="14594" width="8.875" style="3043"/>
    <col min="14595" max="14597" width="12.875" style="3043" customWidth="1"/>
    <col min="14598" max="14598" width="47.5" style="3043" customWidth="1"/>
    <col min="14599" max="14599" width="13" style="3043" customWidth="1"/>
    <col min="14600" max="14601" width="8.875" style="3043"/>
    <col min="14602" max="14602" width="5.75" style="3043" customWidth="1"/>
    <col min="14603" max="14603" width="11.75" style="3043" customWidth="1"/>
    <col min="14604" max="14605" width="10.75" style="3043" customWidth="1"/>
    <col min="14606" max="14606" width="10" style="3043" customWidth="1"/>
    <col min="14607" max="14608" width="10.5" style="3043" bestFit="1" customWidth="1"/>
    <col min="14609" max="14609" width="10" style="3043" customWidth="1"/>
    <col min="14610" max="14610" width="10.125" style="3043" customWidth="1"/>
    <col min="14611" max="14611" width="10" style="3043" customWidth="1"/>
    <col min="14612" max="14612" width="26.125" style="3043" customWidth="1"/>
    <col min="14613" max="14848" width="8.875" style="3043"/>
    <col min="14849" max="14849" width="9.5" style="3043" customWidth="1"/>
    <col min="14850" max="14850" width="8.875" style="3043"/>
    <col min="14851" max="14853" width="12.875" style="3043" customWidth="1"/>
    <col min="14854" max="14854" width="47.5" style="3043" customWidth="1"/>
    <col min="14855" max="14855" width="13" style="3043" customWidth="1"/>
    <col min="14856" max="14857" width="8.875" style="3043"/>
    <col min="14858" max="14858" width="5.75" style="3043" customWidth="1"/>
    <col min="14859" max="14859" width="11.75" style="3043" customWidth="1"/>
    <col min="14860" max="14861" width="10.75" style="3043" customWidth="1"/>
    <col min="14862" max="14862" width="10" style="3043" customWidth="1"/>
    <col min="14863" max="14864" width="10.5" style="3043" bestFit="1" customWidth="1"/>
    <col min="14865" max="14865" width="10" style="3043" customWidth="1"/>
    <col min="14866" max="14866" width="10.125" style="3043" customWidth="1"/>
    <col min="14867" max="14867" width="10" style="3043" customWidth="1"/>
    <col min="14868" max="14868" width="26.125" style="3043" customWidth="1"/>
    <col min="14869" max="15104" width="8.875" style="3043"/>
    <col min="15105" max="15105" width="9.5" style="3043" customWidth="1"/>
    <col min="15106" max="15106" width="8.875" style="3043"/>
    <col min="15107" max="15109" width="12.875" style="3043" customWidth="1"/>
    <col min="15110" max="15110" width="47.5" style="3043" customWidth="1"/>
    <col min="15111" max="15111" width="13" style="3043" customWidth="1"/>
    <col min="15112" max="15113" width="8.875" style="3043"/>
    <col min="15114" max="15114" width="5.75" style="3043" customWidth="1"/>
    <col min="15115" max="15115" width="11.75" style="3043" customWidth="1"/>
    <col min="15116" max="15117" width="10.75" style="3043" customWidth="1"/>
    <col min="15118" max="15118" width="10" style="3043" customWidth="1"/>
    <col min="15119" max="15120" width="10.5" style="3043" bestFit="1" customWidth="1"/>
    <col min="15121" max="15121" width="10" style="3043" customWidth="1"/>
    <col min="15122" max="15122" width="10.125" style="3043" customWidth="1"/>
    <col min="15123" max="15123" width="10" style="3043" customWidth="1"/>
    <col min="15124" max="15124" width="26.125" style="3043" customWidth="1"/>
    <col min="15125" max="15360" width="8.875" style="3043"/>
    <col min="15361" max="15361" width="9.5" style="3043" customWidth="1"/>
    <col min="15362" max="15362" width="8.875" style="3043"/>
    <col min="15363" max="15365" width="12.875" style="3043" customWidth="1"/>
    <col min="15366" max="15366" width="47.5" style="3043" customWidth="1"/>
    <col min="15367" max="15367" width="13" style="3043" customWidth="1"/>
    <col min="15368" max="15369" width="8.875" style="3043"/>
    <col min="15370" max="15370" width="5.75" style="3043" customWidth="1"/>
    <col min="15371" max="15371" width="11.75" style="3043" customWidth="1"/>
    <col min="15372" max="15373" width="10.75" style="3043" customWidth="1"/>
    <col min="15374" max="15374" width="10" style="3043" customWidth="1"/>
    <col min="15375" max="15376" width="10.5" style="3043" bestFit="1" customWidth="1"/>
    <col min="15377" max="15377" width="10" style="3043" customWidth="1"/>
    <col min="15378" max="15378" width="10.125" style="3043" customWidth="1"/>
    <col min="15379" max="15379" width="10" style="3043" customWidth="1"/>
    <col min="15380" max="15380" width="26.125" style="3043" customWidth="1"/>
    <col min="15381" max="15616" width="8.875" style="3043"/>
    <col min="15617" max="15617" width="9.5" style="3043" customWidth="1"/>
    <col min="15618" max="15618" width="8.875" style="3043"/>
    <col min="15619" max="15621" width="12.875" style="3043" customWidth="1"/>
    <col min="15622" max="15622" width="47.5" style="3043" customWidth="1"/>
    <col min="15623" max="15623" width="13" style="3043" customWidth="1"/>
    <col min="15624" max="15625" width="8.875" style="3043"/>
    <col min="15626" max="15626" width="5.75" style="3043" customWidth="1"/>
    <col min="15627" max="15627" width="11.75" style="3043" customWidth="1"/>
    <col min="15628" max="15629" width="10.75" style="3043" customWidth="1"/>
    <col min="15630" max="15630" width="10" style="3043" customWidth="1"/>
    <col min="15631" max="15632" width="10.5" style="3043" bestFit="1" customWidth="1"/>
    <col min="15633" max="15633" width="10" style="3043" customWidth="1"/>
    <col min="15634" max="15634" width="10.125" style="3043" customWidth="1"/>
    <col min="15635" max="15635" width="10" style="3043" customWidth="1"/>
    <col min="15636" max="15636" width="26.125" style="3043" customWidth="1"/>
    <col min="15637" max="15872" width="8.875" style="3043"/>
    <col min="15873" max="15873" width="9.5" style="3043" customWidth="1"/>
    <col min="15874" max="15874" width="8.875" style="3043"/>
    <col min="15875" max="15877" width="12.875" style="3043" customWidth="1"/>
    <col min="15878" max="15878" width="47.5" style="3043" customWidth="1"/>
    <col min="15879" max="15879" width="13" style="3043" customWidth="1"/>
    <col min="15880" max="15881" width="8.875" style="3043"/>
    <col min="15882" max="15882" width="5.75" style="3043" customWidth="1"/>
    <col min="15883" max="15883" width="11.75" style="3043" customWidth="1"/>
    <col min="15884" max="15885" width="10.75" style="3043" customWidth="1"/>
    <col min="15886" max="15886" width="10" style="3043" customWidth="1"/>
    <col min="15887" max="15888" width="10.5" style="3043" bestFit="1" customWidth="1"/>
    <col min="15889" max="15889" width="10" style="3043" customWidth="1"/>
    <col min="15890" max="15890" width="10.125" style="3043" customWidth="1"/>
    <col min="15891" max="15891" width="10" style="3043" customWidth="1"/>
    <col min="15892" max="15892" width="26.125" style="3043" customWidth="1"/>
    <col min="15893" max="16128" width="8.875" style="3043"/>
    <col min="16129" max="16129" width="9.5" style="3043" customWidth="1"/>
    <col min="16130" max="16130" width="8.875" style="3043"/>
    <col min="16131" max="16133" width="12.875" style="3043" customWidth="1"/>
    <col min="16134" max="16134" width="47.5" style="3043" customWidth="1"/>
    <col min="16135" max="16135" width="13" style="3043" customWidth="1"/>
    <col min="16136" max="16137" width="8.875" style="3043"/>
    <col min="16138" max="16138" width="5.75" style="3043" customWidth="1"/>
    <col min="16139" max="16139" width="11.75" style="3043" customWidth="1"/>
    <col min="16140" max="16141" width="10.75" style="3043" customWidth="1"/>
    <col min="16142" max="16142" width="10" style="3043" customWidth="1"/>
    <col min="16143" max="16144" width="10.5" style="3043" bestFit="1" customWidth="1"/>
    <col min="16145" max="16145" width="10" style="3043" customWidth="1"/>
    <col min="16146" max="16146" width="10.125" style="3043" customWidth="1"/>
    <col min="16147" max="16147" width="10" style="3043" customWidth="1"/>
    <col min="16148" max="16148" width="26.125" style="3043" customWidth="1"/>
    <col min="16149" max="16384" width="8.875" style="3043"/>
  </cols>
  <sheetData>
    <row r="1" spans="1:22" ht="21" customHeight="1">
      <c r="A1" s="3032" t="s">
        <v>3127</v>
      </c>
      <c r="B1" s="3033"/>
      <c r="C1" s="3045"/>
      <c r="D1" s="3045"/>
      <c r="E1" s="3034"/>
      <c r="F1" s="3035"/>
      <c r="G1" s="3036"/>
      <c r="J1" s="3039" t="s">
        <v>3006</v>
      </c>
      <c r="K1" s="3040"/>
      <c r="L1" s="3040"/>
      <c r="M1" s="3040"/>
      <c r="N1" s="3040"/>
      <c r="O1" s="3040"/>
      <c r="P1" s="3040"/>
      <c r="Q1" s="3040"/>
      <c r="R1" s="3041"/>
      <c r="S1" s="3042"/>
      <c r="T1" s="3042"/>
      <c r="U1" s="3042"/>
    </row>
    <row r="2" spans="1:22" s="3054" customFormat="1" ht="13.15" customHeight="1">
      <c r="A2" s="1539" t="s">
        <v>3007</v>
      </c>
      <c r="B2" s="3044" t="e">
        <f>C40</f>
        <v>#DIV/0!</v>
      </c>
      <c r="C2" s="3045" t="s">
        <v>3008</v>
      </c>
      <c r="D2" s="3045"/>
      <c r="E2" s="3046"/>
      <c r="F2" s="3047"/>
      <c r="G2" s="3048"/>
      <c r="H2" s="3049"/>
      <c r="I2" s="3050"/>
      <c r="J2" s="3618" t="s">
        <v>3009</v>
      </c>
      <c r="K2" s="3619"/>
      <c r="L2" s="3051" t="s">
        <v>3010</v>
      </c>
      <c r="M2" s="3051" t="s">
        <v>3011</v>
      </c>
      <c r="N2" s="3051" t="s">
        <v>3012</v>
      </c>
      <c r="O2" s="3051" t="s">
        <v>3013</v>
      </c>
      <c r="P2" s="3051" t="s">
        <v>3014</v>
      </c>
      <c r="Q2" s="3052" t="s">
        <v>3015</v>
      </c>
      <c r="R2" s="3053" t="s">
        <v>3016</v>
      </c>
      <c r="S2" s="3042"/>
      <c r="T2" s="3042"/>
      <c r="U2" s="3042"/>
      <c r="V2" s="3050"/>
    </row>
    <row r="3" spans="1:22" s="3054" customFormat="1" ht="13.15" customHeight="1">
      <c r="A3" s="3055" t="s">
        <v>3017</v>
      </c>
      <c r="B3" s="3056" t="e">
        <f>ROUND(B2*10000/B4,0)</f>
        <v>#DIV/0!</v>
      </c>
      <c r="C3" s="3045" t="s">
        <v>3018</v>
      </c>
      <c r="D3" s="3045"/>
      <c r="E3" s="3046"/>
      <c r="F3" s="3047"/>
      <c r="G3" s="3048"/>
      <c r="H3" s="3049"/>
      <c r="I3" s="3050"/>
      <c r="J3" s="3620" t="s">
        <v>3019</v>
      </c>
      <c r="K3" s="3621"/>
      <c r="L3" s="3057"/>
      <c r="M3" s="3057"/>
      <c r="N3" s="3057"/>
      <c r="O3" s="3057"/>
      <c r="P3" s="3057"/>
      <c r="Q3" s="3058"/>
      <c r="R3" s="3059">
        <f>SUM(L3:Q3)</f>
        <v>0</v>
      </c>
      <c r="S3" s="3042"/>
      <c r="T3" s="3042"/>
      <c r="U3" s="3042"/>
      <c r="V3" s="3050"/>
    </row>
    <row r="4" spans="1:22" s="3054" customFormat="1" ht="13.15" customHeight="1">
      <c r="A4" s="3060" t="s">
        <v>3020</v>
      </c>
      <c r="B4" s="3061"/>
      <c r="C4" s="3045"/>
      <c r="D4" s="3045"/>
      <c r="E4" s="3046"/>
      <c r="F4" s="3047"/>
      <c r="G4" s="3048"/>
      <c r="H4" s="3049"/>
      <c r="I4" s="3050"/>
      <c r="J4" s="3620" t="s">
        <v>3021</v>
      </c>
      <c r="K4" s="3621"/>
      <c r="L4" s="3062"/>
      <c r="M4" s="3062"/>
      <c r="N4" s="3062"/>
      <c r="O4" s="3062"/>
      <c r="P4" s="3062"/>
      <c r="Q4" s="3063"/>
      <c r="R4" s="3064">
        <f>SUM(L4:Q4)</f>
        <v>0</v>
      </c>
      <c r="S4" s="3042"/>
      <c r="T4" s="3042"/>
      <c r="U4" s="3042"/>
      <c r="V4" s="3050"/>
    </row>
    <row r="5" spans="1:22" s="3054" customFormat="1" ht="13.15" customHeight="1" thickBot="1">
      <c r="A5" s="3065" t="s">
        <v>3022</v>
      </c>
      <c r="B5" s="3066"/>
      <c r="C5" s="3045"/>
      <c r="D5" s="3067"/>
      <c r="E5" s="3047"/>
      <c r="F5" s="3047"/>
      <c r="G5" s="3048"/>
      <c r="H5" s="3049"/>
      <c r="I5" s="3050"/>
      <c r="J5" s="3068" t="s">
        <v>3023</v>
      </c>
      <c r="K5" s="3069"/>
      <c r="L5" s="3069"/>
      <c r="M5" s="3070"/>
      <c r="N5" s="3070"/>
      <c r="O5" s="3070"/>
      <c r="P5" s="3070"/>
      <c r="Q5" s="3070"/>
      <c r="R5" s="3053">
        <f>SUM(R14,R19,R24,R25,R27,R28)</f>
        <v>0</v>
      </c>
      <c r="S5" s="3042"/>
      <c r="T5" s="3042" t="s">
        <v>3024</v>
      </c>
      <c r="U5" s="3042" t="e">
        <f>ROUND(R5*10000/365/R3,1)</f>
        <v>#DIV/0!</v>
      </c>
      <c r="V5" s="3050"/>
    </row>
    <row r="6" spans="1:22" s="3054" customFormat="1" ht="13.15" customHeight="1" thickBot="1">
      <c r="A6" s="3622" t="s">
        <v>3025</v>
      </c>
      <c r="B6" s="3623"/>
      <c r="C6" s="3624"/>
      <c r="D6" s="3071"/>
      <c r="E6" s="3072"/>
      <c r="F6" s="3073"/>
      <c r="G6" s="3074"/>
      <c r="H6" s="3049"/>
      <c r="I6" s="3050"/>
      <c r="J6" s="3625">
        <v>1</v>
      </c>
      <c r="K6" s="3626" t="s">
        <v>3026</v>
      </c>
      <c r="L6" s="3075" t="s">
        <v>3027</v>
      </c>
      <c r="M6" s="3076" t="s">
        <v>3028</v>
      </c>
      <c r="N6" s="3076" t="s">
        <v>3029</v>
      </c>
      <c r="O6" s="3076" t="s">
        <v>3030</v>
      </c>
      <c r="P6" s="3076" t="s">
        <v>3031</v>
      </c>
      <c r="Q6" s="3076" t="s">
        <v>3032</v>
      </c>
      <c r="R6" s="3059" t="s">
        <v>3033</v>
      </c>
      <c r="S6" s="3042"/>
      <c r="T6" s="3042" t="s">
        <v>3034</v>
      </c>
      <c r="U6" s="3042"/>
      <c r="V6" s="3050"/>
    </row>
    <row r="7" spans="1:22" s="3054" customFormat="1" ht="13.15" customHeight="1">
      <c r="A7" s="3077" t="s">
        <v>3035</v>
      </c>
      <c r="B7" s="3078"/>
      <c r="C7" s="3079"/>
      <c r="D7" s="3080">
        <f>SUM(D9,D10,D11,D17,0)</f>
        <v>0</v>
      </c>
      <c r="E7" s="3081" t="e">
        <f>E9+E10+E11+E17</f>
        <v>#DIV/0!</v>
      </c>
      <c r="F7" s="3082"/>
      <c r="G7" s="3083"/>
      <c r="H7" s="3049"/>
      <c r="I7" s="3050"/>
      <c r="J7" s="3625"/>
      <c r="K7" s="3627"/>
      <c r="L7" s="3084" t="s">
        <v>3036</v>
      </c>
      <c r="M7" s="3085"/>
      <c r="N7" s="3061"/>
      <c r="O7" s="3086"/>
      <c r="P7" s="3086"/>
      <c r="Q7" s="3087">
        <v>365</v>
      </c>
      <c r="R7" s="3088">
        <f>ROUND(M7*N7*O7*P7*Q7/10000,0)</f>
        <v>0</v>
      </c>
      <c r="S7" s="3042"/>
      <c r="T7" s="3042" t="s">
        <v>3037</v>
      </c>
      <c r="U7" s="3042"/>
      <c r="V7" s="3050"/>
    </row>
    <row r="8" spans="1:22" s="3054" customFormat="1" ht="13.15" customHeight="1">
      <c r="A8" s="3089" t="s">
        <v>3038</v>
      </c>
      <c r="B8" s="3629" t="s">
        <v>3039</v>
      </c>
      <c r="C8" s="3630"/>
      <c r="D8" s="3090" t="s">
        <v>3040</v>
      </c>
      <c r="E8" s="3091" t="s">
        <v>3041</v>
      </c>
      <c r="F8" s="3092" t="s">
        <v>3042</v>
      </c>
      <c r="G8" s="3093"/>
      <c r="H8" s="3049"/>
      <c r="I8" s="3050"/>
      <c r="J8" s="3625"/>
      <c r="K8" s="3627"/>
      <c r="L8" s="3084" t="s">
        <v>3043</v>
      </c>
      <c r="M8" s="3085"/>
      <c r="N8" s="3061"/>
      <c r="O8" s="3086"/>
      <c r="P8" s="3086"/>
      <c r="Q8" s="3087">
        <v>365</v>
      </c>
      <c r="R8" s="3088">
        <f t="shared" ref="R8:R13" si="0">ROUND(M8*N8*O8*P8*Q8/10000,0)</f>
        <v>0</v>
      </c>
      <c r="S8" s="3042"/>
      <c r="T8" s="3042" t="s">
        <v>3044</v>
      </c>
      <c r="U8" s="3042"/>
      <c r="V8" s="3050"/>
    </row>
    <row r="9" spans="1:22" s="3054" customFormat="1" ht="13.15" customHeight="1">
      <c r="A9" s="3089">
        <v>1</v>
      </c>
      <c r="B9" s="3629" t="s">
        <v>3045</v>
      </c>
      <c r="C9" s="3630"/>
      <c r="D9" s="3090">
        <f>ROUND(D6*E9,0)</f>
        <v>0</v>
      </c>
      <c r="E9" s="3094"/>
      <c r="F9" s="3095" t="s">
        <v>3046</v>
      </c>
      <c r="G9" s="3074"/>
      <c r="H9" s="3049"/>
      <c r="I9" s="3050"/>
      <c r="J9" s="3625"/>
      <c r="K9" s="3627"/>
      <c r="L9" s="3084" t="s">
        <v>3047</v>
      </c>
      <c r="M9" s="3085"/>
      <c r="N9" s="3061"/>
      <c r="O9" s="3086"/>
      <c r="P9" s="3086"/>
      <c r="Q9" s="3087">
        <v>365</v>
      </c>
      <c r="R9" s="3088">
        <f t="shared" si="0"/>
        <v>0</v>
      </c>
      <c r="S9" s="3042"/>
      <c r="T9" s="3042"/>
      <c r="U9" s="3042"/>
      <c r="V9" s="3050"/>
    </row>
    <row r="10" spans="1:22" s="3054" customFormat="1" ht="13.15" customHeight="1">
      <c r="A10" s="3089">
        <v>2</v>
      </c>
      <c r="B10" s="3629" t="s">
        <v>3048</v>
      </c>
      <c r="C10" s="3630"/>
      <c r="D10" s="3090">
        <f>ROUND(D6*E10,0)</f>
        <v>0</v>
      </c>
      <c r="E10" s="3094"/>
      <c r="F10" s="3095" t="s">
        <v>3049</v>
      </c>
      <c r="G10" s="3074"/>
      <c r="H10" s="3049"/>
      <c r="I10" s="3050"/>
      <c r="J10" s="3625"/>
      <c r="K10" s="3627"/>
      <c r="L10" s="3084" t="s">
        <v>3050</v>
      </c>
      <c r="M10" s="3085"/>
      <c r="N10" s="3061"/>
      <c r="O10" s="3086"/>
      <c r="P10" s="3086"/>
      <c r="Q10" s="3087">
        <v>365</v>
      </c>
      <c r="R10" s="3088">
        <f t="shared" si="0"/>
        <v>0</v>
      </c>
      <c r="S10" s="3042"/>
      <c r="T10" s="3042"/>
      <c r="U10" s="3042"/>
      <c r="V10" s="3050"/>
    </row>
    <row r="11" spans="1:22" s="3054" customFormat="1" ht="13.15" customHeight="1">
      <c r="A11" s="3089">
        <v>3</v>
      </c>
      <c r="B11" s="3629" t="s">
        <v>3051</v>
      </c>
      <c r="C11" s="3630"/>
      <c r="D11" s="3090">
        <f>D12+D14+D15+D16</f>
        <v>0</v>
      </c>
      <c r="E11" s="3096" t="e">
        <f>D11/D6</f>
        <v>#DIV/0!</v>
      </c>
      <c r="F11" s="3092"/>
      <c r="G11" s="3093"/>
      <c r="H11" s="3049"/>
      <c r="I11" s="3050"/>
      <c r="J11" s="3625"/>
      <c r="K11" s="3627"/>
      <c r="L11" s="3084" t="s">
        <v>3052</v>
      </c>
      <c r="M11" s="3085"/>
      <c r="N11" s="3061"/>
      <c r="O11" s="3086"/>
      <c r="P11" s="3086"/>
      <c r="Q11" s="3087">
        <v>365</v>
      </c>
      <c r="R11" s="3088">
        <f t="shared" si="0"/>
        <v>0</v>
      </c>
      <c r="S11" s="3042"/>
      <c r="T11" s="3042"/>
      <c r="U11" s="3042"/>
      <c r="V11" s="3050"/>
    </row>
    <row r="12" spans="1:22" s="3054" customFormat="1" ht="13.15" customHeight="1">
      <c r="A12" s="3097" t="s">
        <v>3053</v>
      </c>
      <c r="B12" s="3631" t="s">
        <v>3054</v>
      </c>
      <c r="C12" s="3632"/>
      <c r="D12" s="3098">
        <f>ROUND(D13*1.2%*(1-30%),0)</f>
        <v>0</v>
      </c>
      <c r="E12" s="3099">
        <v>1.2E-2</v>
      </c>
      <c r="F12" s="3092" t="s">
        <v>3055</v>
      </c>
      <c r="G12" s="3093"/>
      <c r="H12" s="3049"/>
      <c r="I12" s="3050"/>
      <c r="J12" s="3625"/>
      <c r="K12" s="3627"/>
      <c r="L12" s="3084" t="s">
        <v>3056</v>
      </c>
      <c r="M12" s="3085"/>
      <c r="N12" s="3061"/>
      <c r="O12" s="3086"/>
      <c r="P12" s="3086"/>
      <c r="Q12" s="3087">
        <v>365</v>
      </c>
      <c r="R12" s="3088">
        <f t="shared" si="0"/>
        <v>0</v>
      </c>
      <c r="S12" s="3042"/>
      <c r="T12" s="3042"/>
      <c r="U12" s="3042"/>
      <c r="V12" s="3050"/>
    </row>
    <row r="13" spans="1:22" s="3054" customFormat="1" ht="13.15" customHeight="1">
      <c r="A13" s="3097"/>
      <c r="B13" s="3100"/>
      <c r="C13" s="3101" t="s">
        <v>3057</v>
      </c>
      <c r="D13" s="3102"/>
      <c r="E13" s="3103"/>
      <c r="F13" s="3092"/>
      <c r="G13" s="3093"/>
      <c r="H13" s="3049"/>
      <c r="I13" s="3050"/>
      <c r="J13" s="3625"/>
      <c r="K13" s="3627"/>
      <c r="L13" s="3084" t="s">
        <v>3058</v>
      </c>
      <c r="M13" s="3085"/>
      <c r="N13" s="3061"/>
      <c r="O13" s="3086"/>
      <c r="P13" s="3086"/>
      <c r="Q13" s="3087">
        <v>365</v>
      </c>
      <c r="R13" s="3088">
        <f t="shared" si="0"/>
        <v>0</v>
      </c>
      <c r="S13" s="3042"/>
      <c r="T13" s="3042"/>
      <c r="U13" s="3042"/>
      <c r="V13" s="3050"/>
    </row>
    <row r="14" spans="1:22" s="3054" customFormat="1" ht="13.15" customHeight="1">
      <c r="A14" s="3097" t="s">
        <v>3059</v>
      </c>
      <c r="B14" s="3631" t="s">
        <v>3060</v>
      </c>
      <c r="C14" s="3632"/>
      <c r="D14" s="3098">
        <f>ROUND(E14*B5/10000,0)</f>
        <v>0</v>
      </c>
      <c r="E14" s="3087"/>
      <c r="F14" s="3092" t="s">
        <v>3061</v>
      </c>
      <c r="G14" s="3093"/>
      <c r="H14" s="3049"/>
      <c r="I14" s="3050"/>
      <c r="J14" s="3625"/>
      <c r="K14" s="3628"/>
      <c r="L14" s="3104" t="s">
        <v>3062</v>
      </c>
      <c r="M14" s="3105">
        <f>SUM(M7:M13)</f>
        <v>0</v>
      </c>
      <c r="N14" s="3105" t="e">
        <f>ROUND((N7*M7+N8*M8+N9*M9+N10*M10+N11*M11+N12*M12+N13*M13)/M14,0)</f>
        <v>#DIV/0!</v>
      </c>
      <c r="O14" s="3106"/>
      <c r="P14" s="3106"/>
      <c r="Q14" s="3107"/>
      <c r="R14" s="3053">
        <f>SUM(R7:R13)</f>
        <v>0</v>
      </c>
      <c r="S14" s="3042"/>
      <c r="T14" s="3042"/>
      <c r="U14" s="3042"/>
      <c r="V14" s="3050"/>
    </row>
    <row r="15" spans="1:22" s="3054" customFormat="1" ht="13.15" customHeight="1">
      <c r="A15" s="3097" t="s">
        <v>3063</v>
      </c>
      <c r="B15" s="3631" t="s">
        <v>3064</v>
      </c>
      <c r="C15" s="3632"/>
      <c r="D15" s="3098">
        <f>ROUND(D6*E15,0)</f>
        <v>0</v>
      </c>
      <c r="E15" s="3099">
        <v>5.5E-2</v>
      </c>
      <c r="F15" s="3092" t="s">
        <v>3065</v>
      </c>
      <c r="G15" s="3074"/>
      <c r="H15" s="3049"/>
      <c r="I15" s="3050"/>
      <c r="J15" s="3625">
        <v>2</v>
      </c>
      <c r="K15" s="3626" t="s">
        <v>3066</v>
      </c>
      <c r="L15" s="3084" t="s">
        <v>3067</v>
      </c>
      <c r="M15" s="3085" t="s">
        <v>3068</v>
      </c>
      <c r="N15" s="3085" t="s">
        <v>3069</v>
      </c>
      <c r="O15" s="3086" t="s">
        <v>3070</v>
      </c>
      <c r="P15" s="3086" t="s">
        <v>3032</v>
      </c>
      <c r="Q15" s="3061" t="s">
        <v>3071</v>
      </c>
      <c r="R15" s="3108" t="s">
        <v>3033</v>
      </c>
      <c r="S15" s="3042"/>
      <c r="T15" s="3042"/>
      <c r="U15" s="3042"/>
      <c r="V15" s="3050"/>
    </row>
    <row r="16" spans="1:22" s="3054" customFormat="1" ht="13.15" customHeight="1">
      <c r="A16" s="3097" t="s">
        <v>3072</v>
      </c>
      <c r="B16" s="3631" t="s">
        <v>3073</v>
      </c>
      <c r="C16" s="3632"/>
      <c r="D16" s="3109">
        <f>D6*E16</f>
        <v>0</v>
      </c>
      <c r="E16" s="3110"/>
      <c r="F16" s="3095" t="s">
        <v>3074</v>
      </c>
      <c r="G16" s="3074"/>
      <c r="H16" s="3049"/>
      <c r="I16" s="3050"/>
      <c r="J16" s="3625"/>
      <c r="K16" s="3627"/>
      <c r="L16" s="3084" t="s">
        <v>3075</v>
      </c>
      <c r="M16" s="3085"/>
      <c r="N16" s="3085"/>
      <c r="O16" s="3086"/>
      <c r="P16" s="3087">
        <v>365</v>
      </c>
      <c r="Q16" s="3061"/>
      <c r="R16" s="3108">
        <f>ROUND(M16*N16*O16*P16/10000,0)</f>
        <v>0</v>
      </c>
      <c r="S16" s="3042"/>
      <c r="T16" s="3042"/>
      <c r="U16" s="3042"/>
      <c r="V16" s="3050"/>
    </row>
    <row r="17" spans="1:22" s="3054" customFormat="1" ht="13.15" customHeight="1" thickBot="1">
      <c r="A17" s="3111">
        <v>4</v>
      </c>
      <c r="B17" s="3633" t="s">
        <v>3076</v>
      </c>
      <c r="C17" s="3634"/>
      <c r="D17" s="3112">
        <f>ROUND(D6*E17,0)</f>
        <v>0</v>
      </c>
      <c r="E17" s="3113"/>
      <c r="F17" s="3114" t="s">
        <v>3077</v>
      </c>
      <c r="G17" s="3074"/>
      <c r="H17" s="3049"/>
      <c r="I17" s="3050"/>
      <c r="J17" s="3625"/>
      <c r="K17" s="3627"/>
      <c r="L17" s="3084" t="s">
        <v>3078</v>
      </c>
      <c r="M17" s="3085"/>
      <c r="N17" s="3085"/>
      <c r="O17" s="3086"/>
      <c r="P17" s="3087">
        <v>365</v>
      </c>
      <c r="Q17" s="3061"/>
      <c r="R17" s="3108">
        <f>ROUND(M17*N17*O17*P17/10000,0)</f>
        <v>0</v>
      </c>
      <c r="S17" s="3042"/>
      <c r="T17" s="3042"/>
      <c r="U17" s="3042"/>
      <c r="V17" s="3050"/>
    </row>
    <row r="18" spans="1:22" s="3054" customFormat="1" ht="13.15" customHeight="1" thickBot="1">
      <c r="A18" s="3077" t="s">
        <v>3079</v>
      </c>
      <c r="B18" s="3078"/>
      <c r="C18" s="3078"/>
      <c r="D18" s="3115">
        <f>ROUND(D6*E18,0)</f>
        <v>0</v>
      </c>
      <c r="E18" s="3116"/>
      <c r="F18" s="3117" t="s">
        <v>3080</v>
      </c>
      <c r="G18" s="3074"/>
      <c r="H18" s="3049"/>
      <c r="I18" s="3050"/>
      <c r="J18" s="3625"/>
      <c r="K18" s="3627"/>
      <c r="L18" s="3084" t="s">
        <v>3081</v>
      </c>
      <c r="M18" s="3085"/>
      <c r="N18" s="3085"/>
      <c r="O18" s="3086"/>
      <c r="P18" s="3087">
        <v>365</v>
      </c>
      <c r="Q18" s="3061"/>
      <c r="R18" s="3108">
        <f>ROUND(M18*N18*O18*P18/10000,0)</f>
        <v>0</v>
      </c>
      <c r="S18" s="3042"/>
      <c r="T18" s="3042"/>
      <c r="U18" s="3042"/>
      <c r="V18" s="3050"/>
    </row>
    <row r="19" spans="1:22" s="3054" customFormat="1" ht="13.15" customHeight="1" thickBot="1">
      <c r="A19" s="3118" t="s">
        <v>3082</v>
      </c>
      <c r="B19" s="3072"/>
      <c r="C19" s="3072"/>
      <c r="D19" s="3072"/>
      <c r="E19" s="3072"/>
      <c r="F19" s="3073"/>
      <c r="G19" s="3093"/>
      <c r="H19" s="3049"/>
      <c r="I19" s="3050"/>
      <c r="J19" s="3625"/>
      <c r="K19" s="3628"/>
      <c r="L19" s="3104" t="s">
        <v>3062</v>
      </c>
      <c r="M19" s="3105"/>
      <c r="N19" s="3105">
        <f>SUM(N16:N18)</f>
        <v>0</v>
      </c>
      <c r="O19" s="3106"/>
      <c r="P19" s="3119" t="s">
        <v>3126</v>
      </c>
      <c r="Q19" s="3086">
        <v>0</v>
      </c>
      <c r="R19" s="3120">
        <f>ROUND(IF(P19="按比例",R14*Q19,SUM(R16:R18)),0)</f>
        <v>0</v>
      </c>
      <c r="S19" s="3042"/>
      <c r="T19" s="3042"/>
      <c r="U19" s="3042"/>
      <c r="V19" s="3050"/>
    </row>
    <row r="20" spans="1:22" s="3054" customFormat="1" ht="13.15" customHeight="1">
      <c r="A20" s="3077"/>
      <c r="B20" s="3078"/>
      <c r="C20" s="3078"/>
      <c r="D20" s="3078"/>
      <c r="E20" s="3078"/>
      <c r="F20" s="3121"/>
      <c r="G20" s="3093"/>
      <c r="H20" s="3049"/>
      <c r="I20" s="3050"/>
      <c r="J20" s="3625">
        <v>3</v>
      </c>
      <c r="K20" s="3626" t="s">
        <v>3083</v>
      </c>
      <c r="L20" s="3084" t="s">
        <v>3084</v>
      </c>
      <c r="M20" s="3085" t="s">
        <v>3085</v>
      </c>
      <c r="N20" s="3122" t="s">
        <v>3086</v>
      </c>
      <c r="O20" s="3086" t="s">
        <v>3087</v>
      </c>
      <c r="P20" s="3087" t="s">
        <v>3088</v>
      </c>
      <c r="Q20" s="3061" t="s">
        <v>3089</v>
      </c>
      <c r="R20" s="3108" t="s">
        <v>3090</v>
      </c>
      <c r="S20" s="3123"/>
      <c r="T20" s="3123"/>
      <c r="U20" s="3123"/>
      <c r="V20" s="3050"/>
    </row>
    <row r="21" spans="1:22" s="3054" customFormat="1" ht="13.15" customHeight="1">
      <c r="A21" s="3077"/>
      <c r="B21" s="3078"/>
      <c r="C21" s="3124" t="s">
        <v>3091</v>
      </c>
      <c r="D21" s="3125" t="s">
        <v>3092</v>
      </c>
      <c r="E21" s="3126" t="s">
        <v>3093</v>
      </c>
      <c r="F21" s="3121"/>
      <c r="G21" s="3093"/>
      <c r="H21" s="3049"/>
      <c r="I21" s="3050"/>
      <c r="J21" s="3625"/>
      <c r="K21" s="3627"/>
      <c r="L21" s="3084" t="s">
        <v>3094</v>
      </c>
      <c r="M21" s="3085"/>
      <c r="N21" s="3085"/>
      <c r="O21" s="3086"/>
      <c r="P21" s="3087">
        <v>365</v>
      </c>
      <c r="Q21" s="3061"/>
      <c r="R21" s="3127">
        <f>ROUND(M21*N21*O21*P21/10000,0)</f>
        <v>0</v>
      </c>
      <c r="S21" s="3123"/>
      <c r="T21" s="3123"/>
      <c r="U21" s="3123"/>
      <c r="V21" s="3050"/>
    </row>
    <row r="22" spans="1:22" s="3054" customFormat="1" ht="13.15" customHeight="1">
      <c r="A22" s="3077"/>
      <c r="B22" s="3078"/>
      <c r="C22" s="3128" t="s">
        <v>3095</v>
      </c>
      <c r="D22" s="3129" t="s">
        <v>3096</v>
      </c>
      <c r="E22" s="3130" t="s">
        <v>3097</v>
      </c>
      <c r="F22" s="3121"/>
      <c r="G22" s="3131"/>
      <c r="H22" s="3049"/>
      <c r="I22" s="3050"/>
      <c r="J22" s="3625"/>
      <c r="K22" s="3627"/>
      <c r="L22" s="3084" t="s">
        <v>3098</v>
      </c>
      <c r="M22" s="3085"/>
      <c r="N22" s="3085"/>
      <c r="O22" s="3086"/>
      <c r="P22" s="3087">
        <v>365</v>
      </c>
      <c r="Q22" s="3061"/>
      <c r="R22" s="3127">
        <f>ROUND(M22*N22*O22*P22/10000,0)</f>
        <v>0</v>
      </c>
      <c r="S22" s="3123"/>
      <c r="T22" s="3123"/>
      <c r="U22" s="3123"/>
      <c r="V22" s="3050"/>
    </row>
    <row r="23" spans="1:22" s="3054" customFormat="1" ht="13.15" customHeight="1">
      <c r="A23" s="3132">
        <v>1</v>
      </c>
      <c r="B23" s="3133" t="s">
        <v>3099</v>
      </c>
      <c r="C23" s="3134">
        <f>D6</f>
        <v>0</v>
      </c>
      <c r="D23" s="3135">
        <f>C23*(1+D24)</f>
        <v>0</v>
      </c>
      <c r="E23" s="3136">
        <f>D23*(1+E24)</f>
        <v>0</v>
      </c>
      <c r="F23" s="3137"/>
      <c r="G23" s="3138"/>
      <c r="H23" s="3049"/>
      <c r="I23" s="3050"/>
      <c r="J23" s="3625"/>
      <c r="K23" s="3627"/>
      <c r="L23" s="3084" t="s">
        <v>3100</v>
      </c>
      <c r="M23" s="3085"/>
      <c r="N23" s="3085"/>
      <c r="O23" s="3086"/>
      <c r="P23" s="3087">
        <v>365</v>
      </c>
      <c r="Q23" s="3061"/>
      <c r="R23" s="3127">
        <f>ROUND(M23*N23*O23*P23/10000,0)</f>
        <v>0</v>
      </c>
      <c r="S23" s="3042"/>
      <c r="T23" s="3042"/>
      <c r="U23" s="3042"/>
      <c r="V23" s="3050"/>
    </row>
    <row r="24" spans="1:22" s="3054" customFormat="1" ht="13.15" customHeight="1">
      <c r="A24" s="3139"/>
      <c r="B24" s="3140" t="s">
        <v>3101</v>
      </c>
      <c r="C24" s="3141"/>
      <c r="D24" s="3142"/>
      <c r="E24" s="3143"/>
      <c r="F24" s="3144"/>
      <c r="G24" s="3138"/>
      <c r="H24" s="3049"/>
      <c r="I24" s="3050"/>
      <c r="J24" s="3625"/>
      <c r="K24" s="3628"/>
      <c r="L24" s="3104" t="s">
        <v>3062</v>
      </c>
      <c r="M24" s="3105">
        <f>SUM(M21:M23)</f>
        <v>0</v>
      </c>
      <c r="N24" s="3105"/>
      <c r="O24" s="3106"/>
      <c r="P24" s="3119" t="s">
        <v>3126</v>
      </c>
      <c r="Q24" s="3086">
        <v>0</v>
      </c>
      <c r="R24" s="3120">
        <f>ROUND(IF(P24="按比例",R14*Q24,SUM(R21:R23)),0)</f>
        <v>0</v>
      </c>
      <c r="S24" s="3042"/>
      <c r="T24" s="3042"/>
      <c r="U24" s="3042"/>
      <c r="V24" s="3050"/>
    </row>
    <row r="25" spans="1:22" s="3151" customFormat="1" ht="13.15" customHeight="1">
      <c r="A25" s="3139"/>
      <c r="B25" s="3140"/>
      <c r="C25" s="3141"/>
      <c r="D25" s="3142"/>
      <c r="E25" s="3143"/>
      <c r="F25" s="3144"/>
      <c r="G25" s="3131"/>
      <c r="H25" s="3049"/>
      <c r="I25" s="3050"/>
      <c r="J25" s="3145">
        <v>4</v>
      </c>
      <c r="K25" s="3146" t="s">
        <v>3102</v>
      </c>
      <c r="L25" s="3147"/>
      <c r="M25" s="3147"/>
      <c r="N25" s="3147"/>
      <c r="O25" s="3147"/>
      <c r="P25" s="3148"/>
      <c r="Q25" s="3149">
        <v>0</v>
      </c>
      <c r="R25" s="3120">
        <f>ROUND(R14*Q25,0)</f>
        <v>0</v>
      </c>
      <c r="S25" s="3042"/>
      <c r="T25" s="3042"/>
      <c r="U25" s="3042"/>
      <c r="V25" s="3150"/>
    </row>
    <row r="26" spans="1:22" s="3151" customFormat="1" ht="13.15" customHeight="1">
      <c r="A26" s="3132">
        <v>2</v>
      </c>
      <c r="B26" s="3133" t="s">
        <v>3103</v>
      </c>
      <c r="C26" s="3134">
        <f>D7</f>
        <v>0</v>
      </c>
      <c r="D26" s="3135">
        <f>D23*D27</f>
        <v>0</v>
      </c>
      <c r="E26" s="3136">
        <f>E23*E27</f>
        <v>0</v>
      </c>
      <c r="F26" s="3137"/>
      <c r="G26" s="3138"/>
      <c r="H26" s="3049"/>
      <c r="I26" s="3050"/>
      <c r="J26" s="3635">
        <v>5</v>
      </c>
      <c r="K26" s="3152" t="s">
        <v>3104</v>
      </c>
      <c r="L26" s="3153"/>
      <c r="M26" s="3154"/>
      <c r="N26" s="3155" t="s">
        <v>3105</v>
      </c>
      <c r="O26" s="3155" t="s">
        <v>3106</v>
      </c>
      <c r="P26" s="3156" t="s">
        <v>3107</v>
      </c>
      <c r="Q26" s="3156" t="s">
        <v>3108</v>
      </c>
      <c r="R26" s="3059" t="s">
        <v>3033</v>
      </c>
      <c r="S26" s="3157"/>
      <c r="T26" s="3157"/>
      <c r="U26" s="3157"/>
      <c r="V26" s="3150"/>
    </row>
    <row r="27" spans="1:22" s="3054" customFormat="1" ht="13.15" customHeight="1">
      <c r="A27" s="3139"/>
      <c r="B27" s="3140" t="s">
        <v>3109</v>
      </c>
      <c r="C27" s="3158" t="e">
        <f>E7</f>
        <v>#DIV/0!</v>
      </c>
      <c r="D27" s="3142"/>
      <c r="E27" s="3143"/>
      <c r="F27" s="3144"/>
      <c r="G27" s="3138"/>
      <c r="H27" s="3159"/>
      <c r="I27" s="3150"/>
      <c r="J27" s="3636"/>
      <c r="K27" s="3160"/>
      <c r="L27" s="3161"/>
      <c r="M27" s="3162"/>
      <c r="N27" s="3163"/>
      <c r="O27" s="3163"/>
      <c r="P27" s="3163"/>
      <c r="Q27" s="3164"/>
      <c r="R27" s="3120">
        <f>ROUND(O27*N27*P27*(1-Q27)/10000,0)</f>
        <v>0</v>
      </c>
      <c r="S27" s="3042"/>
      <c r="T27" s="3042"/>
      <c r="U27" s="3042"/>
      <c r="V27" s="3050"/>
    </row>
    <row r="28" spans="1:22" s="3151" customFormat="1" ht="13.15" customHeight="1" thickBot="1">
      <c r="A28" s="3139"/>
      <c r="B28" s="3140"/>
      <c r="C28" s="3158"/>
      <c r="D28" s="3142"/>
      <c r="E28" s="3143" t="s">
        <v>3110</v>
      </c>
      <c r="F28" s="3144"/>
      <c r="G28" s="3131"/>
      <c r="H28" s="3159"/>
      <c r="I28" s="3150"/>
      <c r="J28" s="3165">
        <v>6</v>
      </c>
      <c r="K28" s="3166" t="s">
        <v>3111</v>
      </c>
      <c r="L28" s="3167" t="s">
        <v>3112</v>
      </c>
      <c r="M28" s="3168"/>
      <c r="N28" s="3167" t="s">
        <v>3113</v>
      </c>
      <c r="O28" s="3169"/>
      <c r="P28" s="3167" t="s">
        <v>3114</v>
      </c>
      <c r="Q28" s="3170">
        <v>1.4999999999999999E-2</v>
      </c>
      <c r="R28" s="3171"/>
      <c r="S28" s="3123"/>
      <c r="T28" s="3123"/>
      <c r="U28" s="3123"/>
      <c r="V28" s="3150"/>
    </row>
    <row r="29" spans="1:22" s="3151" customFormat="1" ht="13.15" customHeight="1">
      <c r="A29" s="3132">
        <v>3</v>
      </c>
      <c r="B29" s="3133" t="s">
        <v>3115</v>
      </c>
      <c r="C29" s="3134">
        <f>C23*C30</f>
        <v>0</v>
      </c>
      <c r="D29" s="3135">
        <f>D23*C30</f>
        <v>0</v>
      </c>
      <c r="E29" s="3136">
        <f>E23*C30</f>
        <v>0</v>
      </c>
      <c r="F29" s="3137"/>
      <c r="G29" s="3138"/>
      <c r="H29" s="3049"/>
      <c r="I29" s="3050"/>
      <c r="J29" s="3123"/>
      <c r="K29" s="3123"/>
      <c r="L29" s="3123"/>
      <c r="M29" s="3123"/>
      <c r="N29" s="3123"/>
      <c r="O29" s="3123"/>
      <c r="P29" s="3123"/>
      <c r="Q29" s="3123"/>
      <c r="R29" s="3123"/>
      <c r="S29" s="3123"/>
      <c r="T29" s="3123"/>
      <c r="U29" s="3123"/>
      <c r="V29" s="3150"/>
    </row>
    <row r="30" spans="1:22" s="3054" customFormat="1" ht="13.15" customHeight="1" thickBot="1">
      <c r="A30" s="3139"/>
      <c r="B30" s="3140" t="s">
        <v>3109</v>
      </c>
      <c r="C30" s="3158">
        <f>E18</f>
        <v>0</v>
      </c>
      <c r="D30" s="3172"/>
      <c r="E30" s="3103"/>
      <c r="F30" s="3144"/>
      <c r="G30" s="3138"/>
      <c r="H30" s="3159"/>
      <c r="I30" s="3150"/>
      <c r="J30" s="3123"/>
      <c r="K30" s="3123"/>
      <c r="L30" s="3123"/>
      <c r="M30" s="3123"/>
      <c r="N30" s="3123"/>
      <c r="O30" s="3123"/>
      <c r="P30" s="3123"/>
      <c r="Q30" s="3123"/>
      <c r="R30" s="3123"/>
      <c r="S30" s="3123"/>
      <c r="T30" s="3123"/>
      <c r="U30" s="3042"/>
      <c r="V30" s="3050"/>
    </row>
    <row r="31" spans="1:22" s="3151" customFormat="1" ht="13.15" customHeight="1">
      <c r="A31" s="3139"/>
      <c r="B31" s="3140"/>
      <c r="C31" s="3173"/>
      <c r="D31" s="3172"/>
      <c r="E31" s="3103"/>
      <c r="F31" s="3144"/>
      <c r="G31" s="3131"/>
      <c r="H31" s="3159"/>
      <c r="I31" s="3150"/>
      <c r="J31" s="3039" t="s">
        <v>3116</v>
      </c>
      <c r="K31" s="3040"/>
      <c r="L31" s="3040"/>
      <c r="M31" s="3040"/>
      <c r="N31" s="3040"/>
      <c r="O31" s="3040"/>
      <c r="P31" s="3040"/>
      <c r="Q31" s="3040"/>
      <c r="R31" s="3041"/>
      <c r="S31" s="3123"/>
      <c r="T31" s="3042"/>
      <c r="U31" s="3042"/>
      <c r="V31" s="3150"/>
    </row>
    <row r="32" spans="1:22" s="3151" customFormat="1" ht="13.15" customHeight="1">
      <c r="A32" s="3132">
        <v>4</v>
      </c>
      <c r="B32" s="3133" t="s">
        <v>3117</v>
      </c>
      <c r="C32" s="3134">
        <f>C23-C26-C29</f>
        <v>0</v>
      </c>
      <c r="D32" s="3135">
        <f>D23-D26-D29</f>
        <v>0</v>
      </c>
      <c r="E32" s="3136">
        <f>E23-E26-E29</f>
        <v>0</v>
      </c>
      <c r="F32" s="3137"/>
      <c r="G32" s="3131"/>
      <c r="H32" s="3049"/>
      <c r="I32" s="3050"/>
      <c r="J32" s="3618" t="s">
        <v>3009</v>
      </c>
      <c r="K32" s="3619"/>
      <c r="L32" s="3051" t="s">
        <v>3010</v>
      </c>
      <c r="M32" s="3051" t="s">
        <v>3011</v>
      </c>
      <c r="N32" s="3051" t="s">
        <v>3012</v>
      </c>
      <c r="O32" s="3051" t="s">
        <v>3013</v>
      </c>
      <c r="P32" s="3051" t="s">
        <v>3014</v>
      </c>
      <c r="Q32" s="3052" t="s">
        <v>3015</v>
      </c>
      <c r="R32" s="3174" t="s">
        <v>3016</v>
      </c>
      <c r="S32" s="3123"/>
      <c r="T32" s="3042"/>
      <c r="U32" s="3042"/>
      <c r="V32" s="3150"/>
    </row>
    <row r="33" spans="1:23" s="3054" customFormat="1" ht="13.15" customHeight="1">
      <c r="A33" s="3132"/>
      <c r="B33" s="3133"/>
      <c r="C33" s="3134"/>
      <c r="D33" s="3175"/>
      <c r="E33" s="3176"/>
      <c r="F33" s="3137"/>
      <c r="G33" s="3131"/>
      <c r="H33" s="3159"/>
      <c r="I33" s="3150"/>
      <c r="J33" s="3620" t="s">
        <v>3019</v>
      </c>
      <c r="K33" s="3621"/>
      <c r="L33" s="3057"/>
      <c r="M33" s="3057"/>
      <c r="N33" s="3057"/>
      <c r="O33" s="3057"/>
      <c r="P33" s="3057"/>
      <c r="Q33" s="3058"/>
      <c r="R33" s="3177">
        <f>SUM(L33:Q33)</f>
        <v>0</v>
      </c>
      <c r="S33" s="3123"/>
      <c r="T33" s="3042"/>
      <c r="U33" s="3042"/>
      <c r="V33" s="3050"/>
    </row>
    <row r="34" spans="1:23" s="3054" customFormat="1" ht="13.15" customHeight="1">
      <c r="A34" s="3132">
        <v>5</v>
      </c>
      <c r="B34" s="3133" t="s">
        <v>3118</v>
      </c>
      <c r="C34" s="3178"/>
      <c r="D34" s="3179"/>
      <c r="E34" s="3180"/>
      <c r="F34" s="3137"/>
      <c r="G34" s="3131"/>
      <c r="H34" s="3159"/>
      <c r="I34" s="3150"/>
      <c r="J34" s="3620" t="s">
        <v>3021</v>
      </c>
      <c r="K34" s="3621"/>
      <c r="L34" s="3062"/>
      <c r="M34" s="3062"/>
      <c r="N34" s="3062"/>
      <c r="O34" s="3062"/>
      <c r="P34" s="3062"/>
      <c r="Q34" s="3063"/>
      <c r="R34" s="3181">
        <f>SUM(L34:Q34)</f>
        <v>0</v>
      </c>
      <c r="S34" s="3123"/>
      <c r="T34" s="3042"/>
      <c r="U34" s="3042" t="e">
        <f>ROUND(R35*10000/365/R33,1)</f>
        <v>#DIV/0!</v>
      </c>
      <c r="V34" s="3050"/>
    </row>
    <row r="35" spans="1:23" s="3054" customFormat="1" ht="13.15" customHeight="1">
      <c r="A35" s="3132">
        <v>6</v>
      </c>
      <c r="B35" s="3133" t="s">
        <v>3119</v>
      </c>
      <c r="C35" s="3182"/>
      <c r="D35" s="3183"/>
      <c r="E35" s="3184"/>
      <c r="F35" s="3137"/>
      <c r="G35" s="3185"/>
      <c r="H35" s="3049"/>
      <c r="I35" s="3150"/>
      <c r="J35" s="3068" t="s">
        <v>3023</v>
      </c>
      <c r="K35" s="3069"/>
      <c r="L35" s="3069"/>
      <c r="M35" s="3070"/>
      <c r="N35" s="3070"/>
      <c r="O35" s="3070"/>
      <c r="P35" s="3070"/>
      <c r="Q35" s="3070"/>
      <c r="R35" s="3186">
        <f>R40+R41+R43</f>
        <v>0</v>
      </c>
      <c r="S35" s="3123"/>
      <c r="T35" s="3042" t="s">
        <v>3024</v>
      </c>
      <c r="U35" s="3042"/>
      <c r="V35" s="3050"/>
    </row>
    <row r="36" spans="1:23" s="3054" customFormat="1" ht="13.15" customHeight="1" thickBot="1">
      <c r="A36" s="3132">
        <v>7</v>
      </c>
      <c r="B36" s="3187" t="s">
        <v>3120</v>
      </c>
      <c r="C36" s="3188"/>
      <c r="D36" s="3189"/>
      <c r="E36" s="3190"/>
      <c r="F36" s="3191">
        <f>C36+D36+E36</f>
        <v>0</v>
      </c>
      <c r="G36" s="3131"/>
      <c r="H36" s="3049"/>
      <c r="I36" s="3050"/>
      <c r="J36" s="3625">
        <v>1</v>
      </c>
      <c r="K36" s="3626" t="s">
        <v>3121</v>
      </c>
      <c r="L36" s="3075"/>
      <c r="M36" s="3076"/>
      <c r="N36" s="3076"/>
      <c r="O36" s="3076"/>
      <c r="P36" s="3076"/>
      <c r="Q36" s="3076"/>
      <c r="R36" s="3059" t="s">
        <v>3033</v>
      </c>
      <c r="S36" s="3123"/>
      <c r="T36" s="3042" t="s">
        <v>3034</v>
      </c>
      <c r="U36" s="3042"/>
      <c r="V36" s="3050"/>
    </row>
    <row r="37" spans="1:23" s="3054" customFormat="1" ht="13.15" customHeight="1">
      <c r="A37" s="3132"/>
      <c r="B37" s="3133"/>
      <c r="C37" s="3133"/>
      <c r="D37" s="3133"/>
      <c r="E37" s="3133"/>
      <c r="F37" s="3137"/>
      <c r="G37" s="3131"/>
      <c r="H37" s="3049"/>
      <c r="I37" s="3050"/>
      <c r="J37" s="3625"/>
      <c r="K37" s="3627"/>
      <c r="L37" s="3084"/>
      <c r="M37" s="3085"/>
      <c r="N37" s="3061"/>
      <c r="O37" s="3086"/>
      <c r="P37" s="3086"/>
      <c r="Q37" s="3087"/>
      <c r="R37" s="3088"/>
      <c r="S37" s="3123"/>
      <c r="T37" s="3042" t="s">
        <v>3037</v>
      </c>
      <c r="U37" s="3042"/>
      <c r="V37" s="3050"/>
    </row>
    <row r="38" spans="1:23" s="3054" customFormat="1" ht="13.15" customHeight="1">
      <c r="A38" s="3132">
        <v>8</v>
      </c>
      <c r="B38" s="3133"/>
      <c r="C38" s="3090" t="e">
        <f>ROUND(C32*(1-((1+C35)/(1+C34))^C36)/(C34-C35),0)</f>
        <v>#DIV/0!</v>
      </c>
      <c r="D38" s="3090">
        <f>IF(D23=0,0,ROUND(D32*(1-((1+D35)/(1+D34))^D36)/(D34-D35),0))</f>
        <v>0</v>
      </c>
      <c r="E38" s="3090">
        <f>IF(E23=0,0,ROUND(E32*(1-((1+E35)/(1+E34))^E36)/(E34-E35),0))</f>
        <v>0</v>
      </c>
      <c r="F38" s="3137"/>
      <c r="G38" s="3131"/>
      <c r="H38" s="3049"/>
      <c r="I38" s="3050"/>
      <c r="J38" s="3625"/>
      <c r="K38" s="3627"/>
      <c r="L38" s="3084"/>
      <c r="M38" s="3085"/>
      <c r="N38" s="3061"/>
      <c r="O38" s="3086"/>
      <c r="P38" s="3086"/>
      <c r="Q38" s="3087"/>
      <c r="R38" s="3088"/>
      <c r="S38" s="3123"/>
      <c r="T38" s="3042" t="s">
        <v>3044</v>
      </c>
      <c r="U38" s="3042"/>
      <c r="V38" s="3050"/>
    </row>
    <row r="39" spans="1:23" s="3054" customFormat="1" ht="13.15" customHeight="1">
      <c r="A39" s="3132">
        <v>9</v>
      </c>
      <c r="B39" s="3133" t="s">
        <v>3122</v>
      </c>
      <c r="C39" s="3098" t="e">
        <f>C38</f>
        <v>#DIV/0!</v>
      </c>
      <c r="D39" s="3133">
        <f>D38/(1+D34)^C36</f>
        <v>0</v>
      </c>
      <c r="E39" s="3133">
        <f>E38/(1+E34)^(C36+D36)</f>
        <v>0</v>
      </c>
      <c r="F39" s="3137"/>
      <c r="G39" s="3192"/>
      <c r="H39" s="3049"/>
      <c r="I39" s="3050"/>
      <c r="J39" s="3625"/>
      <c r="K39" s="3627"/>
      <c r="L39" s="3084"/>
      <c r="M39" s="3085"/>
      <c r="N39" s="3061"/>
      <c r="O39" s="3086"/>
      <c r="P39" s="3086"/>
      <c r="Q39" s="3087"/>
      <c r="R39" s="3088"/>
      <c r="S39" s="3123"/>
      <c r="T39" s="3042"/>
      <c r="U39" s="3042"/>
      <c r="V39" s="3050"/>
    </row>
    <row r="40" spans="1:23" s="3054" customFormat="1" ht="13.15" customHeight="1">
      <c r="A40" s="3193">
        <v>10</v>
      </c>
      <c r="B40" s="3133" t="s">
        <v>3123</v>
      </c>
      <c r="C40" s="3194" t="e">
        <f>C39+D39+E39</f>
        <v>#DIV/0!</v>
      </c>
      <c r="D40" s="3195"/>
      <c r="E40" s="3195"/>
      <c r="F40" s="3196"/>
      <c r="G40" s="3131"/>
      <c r="H40" s="3049"/>
      <c r="I40" s="3050"/>
      <c r="J40" s="3625"/>
      <c r="K40" s="3628"/>
      <c r="L40" s="3104" t="s">
        <v>3062</v>
      </c>
      <c r="M40" s="3105"/>
      <c r="N40" s="3105"/>
      <c r="O40" s="3106"/>
      <c r="P40" s="3106"/>
      <c r="Q40" s="3107"/>
      <c r="R40" s="3053">
        <f>SUM(R37:R39)</f>
        <v>0</v>
      </c>
      <c r="S40" s="3123"/>
      <c r="T40" s="3042"/>
      <c r="U40" s="3042"/>
      <c r="V40" s="3050"/>
    </row>
    <row r="41" spans="1:23" s="3054" customFormat="1" ht="13.15" customHeight="1" thickBot="1">
      <c r="A41" s="3197">
        <v>11</v>
      </c>
      <c r="B41" s="3198" t="s">
        <v>3124</v>
      </c>
      <c r="C41" s="3198" t="e">
        <f>ROUND(C40*10000/B4,0)</f>
        <v>#DIV/0!</v>
      </c>
      <c r="D41" s="3199"/>
      <c r="E41" s="3199"/>
      <c r="F41" s="3200"/>
      <c r="G41" s="3201"/>
      <c r="H41" s="3049"/>
      <c r="I41" s="3050"/>
      <c r="J41" s="3145">
        <v>2</v>
      </c>
      <c r="K41" s="3146" t="s">
        <v>3102</v>
      </c>
      <c r="L41" s="3147"/>
      <c r="M41" s="3147"/>
      <c r="N41" s="3147"/>
      <c r="O41" s="3147"/>
      <c r="P41" s="3148"/>
      <c r="Q41" s="3149"/>
      <c r="R41" s="3120">
        <f>ROUND(R40*Q41,0)</f>
        <v>0</v>
      </c>
      <c r="S41" s="3123"/>
      <c r="T41" s="3042"/>
      <c r="U41" s="3157"/>
      <c r="V41" s="3050"/>
    </row>
    <row r="42" spans="1:23" s="3054" customFormat="1" ht="13.15" customHeight="1">
      <c r="G42" s="3201"/>
      <c r="H42" s="3049"/>
      <c r="I42" s="3050"/>
      <c r="J42" s="3635">
        <v>3</v>
      </c>
      <c r="K42" s="3152" t="s">
        <v>3104</v>
      </c>
      <c r="L42" s="3153"/>
      <c r="M42" s="3154"/>
      <c r="N42" s="3155" t="s">
        <v>3105</v>
      </c>
      <c r="O42" s="3155" t="s">
        <v>3106</v>
      </c>
      <c r="P42" s="3156" t="s">
        <v>3107</v>
      </c>
      <c r="Q42" s="3156" t="s">
        <v>3108</v>
      </c>
      <c r="R42" s="3059" t="s">
        <v>3033</v>
      </c>
      <c r="S42" s="3157"/>
      <c r="T42" s="3157"/>
      <c r="U42" s="3042"/>
      <c r="V42" s="3050"/>
    </row>
    <row r="43" spans="1:23" ht="13.15" customHeight="1">
      <c r="A43" s="3054"/>
      <c r="B43" s="3054"/>
      <c r="C43" s="3054"/>
      <c r="D43" s="3054"/>
      <c r="E43" s="3054"/>
      <c r="F43" s="3054"/>
      <c r="I43" s="3037"/>
      <c r="J43" s="3636"/>
      <c r="K43" s="3160"/>
      <c r="L43" s="3161"/>
      <c r="M43" s="3162"/>
      <c r="N43" s="3085"/>
      <c r="O43" s="3085"/>
      <c r="P43" s="3085"/>
      <c r="Q43" s="3149"/>
      <c r="R43" s="3120">
        <f>ROUND(O43*N43*P43*(1-Q43)/10000,0)</f>
        <v>0</v>
      </c>
      <c r="S43" s="3123"/>
      <c r="T43" s="3042"/>
      <c r="V43" s="3203"/>
      <c r="W43" s="3204"/>
    </row>
    <row r="44" spans="1:23" ht="13.15" customHeight="1" thickBot="1">
      <c r="J44" s="3165">
        <v>6</v>
      </c>
      <c r="K44" s="3166" t="s">
        <v>3111</v>
      </c>
      <c r="L44" s="3205" t="s">
        <v>3112</v>
      </c>
      <c r="M44" s="3168"/>
      <c r="N44" s="3205" t="s">
        <v>3113</v>
      </c>
      <c r="O44" s="3168"/>
      <c r="P44" s="3205" t="s">
        <v>3114</v>
      </c>
      <c r="Q44" s="3170">
        <v>1.4999999999999999E-2</v>
      </c>
      <c r="R44" s="317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2290</v>
      </c>
      <c r="C1" s="1378" t="s">
        <v>2291</v>
      </c>
      <c r="D1" s="1365"/>
      <c r="E1" s="2514"/>
      <c r="F1" s="2035" t="s">
        <v>2292</v>
      </c>
      <c r="G1" s="1375" t="s">
        <v>2293</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2294</v>
      </c>
      <c r="F2" s="2039"/>
      <c r="G2" s="1038"/>
      <c r="H2" s="1038"/>
      <c r="I2" s="1038"/>
      <c r="J2" s="1038"/>
      <c r="K2" s="2040"/>
      <c r="L2" s="2912"/>
      <c r="M2" s="2913"/>
      <c r="N2" s="2913"/>
      <c r="O2" s="2913"/>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2295</v>
      </c>
      <c r="D3" s="359">
        <f>IF(D1="",'数据-汇总表'!E3,SUMIF('数据-汇总表'!$C19:$C33,D1,'数据-汇总表'!$E19:$E33))</f>
        <v>69898.900000000009</v>
      </c>
      <c r="E3" s="1038"/>
      <c r="F3" s="2044"/>
      <c r="G3" s="1038"/>
      <c r="H3" s="1038"/>
      <c r="I3" s="1038"/>
      <c r="J3" s="1038"/>
      <c r="K3" s="2040"/>
      <c r="L3" s="2912"/>
      <c r="M3" s="2913"/>
      <c r="N3" s="2913"/>
      <c r="O3" s="2913"/>
      <c r="P3" s="2041"/>
      <c r="Q3" s="2042"/>
      <c r="R3" s="2042"/>
      <c r="S3" s="2042"/>
      <c r="T3" s="2042"/>
      <c r="U3" s="2042"/>
      <c r="V3" s="2042"/>
      <c r="W3" s="2042"/>
      <c r="X3" s="2042"/>
      <c r="Y3" s="2042"/>
      <c r="Z3" s="2042"/>
      <c r="AA3" s="2042"/>
      <c r="AB3" s="2042"/>
      <c r="AC3" s="1192"/>
    </row>
    <row r="4" spans="1:29" ht="15">
      <c r="A4" s="361" t="s">
        <v>2296</v>
      </c>
      <c r="B4" s="362"/>
      <c r="C4" s="3586" t="s">
        <v>2297</v>
      </c>
      <c r="D4" s="3587"/>
      <c r="E4" s="3588" t="s">
        <v>2298</v>
      </c>
      <c r="F4" s="3589"/>
      <c r="G4" s="3586" t="s">
        <v>2299</v>
      </c>
      <c r="H4" s="3587"/>
      <c r="I4" s="3586" t="s">
        <v>2300</v>
      </c>
      <c r="J4" s="3587"/>
      <c r="K4" s="2045" t="s">
        <v>2301</v>
      </c>
      <c r="L4" s="2914"/>
      <c r="M4" s="2915"/>
      <c r="N4" s="2915"/>
      <c r="O4" s="2915"/>
      <c r="P4" s="3590" t="s">
        <v>2302</v>
      </c>
      <c r="Q4" s="3591"/>
      <c r="R4" s="3573" t="s">
        <v>2298</v>
      </c>
      <c r="S4" s="3574"/>
      <c r="T4" s="3573" t="s">
        <v>2299</v>
      </c>
      <c r="U4" s="3574"/>
      <c r="V4" s="3598" t="s">
        <v>2300</v>
      </c>
      <c r="W4" s="3598"/>
      <c r="X4" s="1509"/>
      <c r="Y4" s="3573" t="s">
        <v>2302</v>
      </c>
      <c r="Z4" s="3574"/>
      <c r="AA4" s="3568" t="s">
        <v>2298</v>
      </c>
      <c r="AB4" s="3568" t="s">
        <v>2299</v>
      </c>
      <c r="AC4" s="3568" t="s">
        <v>2300</v>
      </c>
    </row>
    <row r="5" spans="1:29" ht="15">
      <c r="A5" s="364"/>
      <c r="B5" s="365"/>
      <c r="C5" s="3579" t="s">
        <v>2303</v>
      </c>
      <c r="D5" s="3580"/>
      <c r="E5" s="3577" t="s">
        <v>2304</v>
      </c>
      <c r="F5" s="3578"/>
      <c r="G5" s="3579" t="s">
        <v>2305</v>
      </c>
      <c r="H5" s="3580"/>
      <c r="I5" s="3579" t="s">
        <v>2306</v>
      </c>
      <c r="J5" s="3580"/>
      <c r="K5" s="2046"/>
      <c r="L5" s="2914"/>
      <c r="M5" s="2915"/>
      <c r="N5" s="2915"/>
      <c r="O5" s="2915"/>
      <c r="P5" s="3592"/>
      <c r="Q5" s="3593"/>
      <c r="R5" s="3575"/>
      <c r="S5" s="3576"/>
      <c r="T5" s="3575"/>
      <c r="U5" s="3576"/>
      <c r="V5" s="3598"/>
      <c r="W5" s="3598"/>
      <c r="X5" s="1509"/>
      <c r="Y5" s="3575"/>
      <c r="Z5" s="3576"/>
      <c r="AA5" s="3569"/>
      <c r="AB5" s="3569"/>
      <c r="AC5" s="3569"/>
    </row>
    <row r="6" spans="1:29" ht="15.75" thickBot="1">
      <c r="A6" s="366"/>
      <c r="B6" s="367"/>
      <c r="C6" s="3581" t="s">
        <v>2307</v>
      </c>
      <c r="D6" s="3582"/>
      <c r="E6" s="3583" t="s">
        <v>2307</v>
      </c>
      <c r="F6" s="3584"/>
      <c r="G6" s="3581" t="s">
        <v>2307</v>
      </c>
      <c r="H6" s="3582"/>
      <c r="I6" s="3581" t="s">
        <v>2307</v>
      </c>
      <c r="J6" s="3582"/>
      <c r="K6" s="2046" t="s">
        <v>2308</v>
      </c>
      <c r="L6" s="2914"/>
      <c r="M6" s="2915"/>
      <c r="N6" s="2915"/>
      <c r="O6" s="2915"/>
      <c r="P6" s="3594"/>
      <c r="Q6" s="3595"/>
      <c r="R6" s="3575"/>
      <c r="S6" s="3576"/>
      <c r="T6" s="3596"/>
      <c r="U6" s="3597"/>
      <c r="V6" s="3598"/>
      <c r="W6" s="3598"/>
      <c r="X6" s="1509"/>
      <c r="Y6" s="3596"/>
      <c r="Z6" s="3597"/>
      <c r="AA6" s="3570"/>
      <c r="AB6" s="3570"/>
      <c r="AC6" s="3570"/>
    </row>
    <row r="7" spans="1:29" s="113" customFormat="1" ht="15.75" thickBot="1">
      <c r="A7" s="368" t="s">
        <v>2309</v>
      </c>
      <c r="B7" s="369"/>
      <c r="C7" s="370">
        <f>'数据-取费表'!B2</f>
        <v>44543</v>
      </c>
      <c r="D7" s="371">
        <v>100</v>
      </c>
      <c r="E7" s="372"/>
      <c r="F7" s="373">
        <f>SUMIF(58:58,YEAR(E7)&amp;"-"&amp;MONTH(E7),59:59)</f>
        <v>0</v>
      </c>
      <c r="G7" s="372"/>
      <c r="H7" s="371">
        <f>SUMIF(58:58,YEAR(G7)&amp;"-"&amp;MONTH(G7),59:59)</f>
        <v>0</v>
      </c>
      <c r="I7" s="372"/>
      <c r="J7" s="371">
        <f>SUMIF(58:58,YEAR(I7)&amp;"-"&amp;MONTH(I7),59:59)</f>
        <v>0</v>
      </c>
      <c r="K7" s="2047"/>
      <c r="L7" s="2916"/>
      <c r="M7" s="2917"/>
      <c r="N7" s="2917"/>
      <c r="O7" s="2917"/>
      <c r="P7" s="3571" t="s">
        <v>2310</v>
      </c>
      <c r="Q7" s="3599"/>
      <c r="R7" s="710" t="s">
        <v>23</v>
      </c>
      <c r="S7" s="711">
        <f t="shared" ref="S7:S15" si="0">F7</f>
        <v>0</v>
      </c>
      <c r="T7" s="710" t="s">
        <v>23</v>
      </c>
      <c r="U7" s="711">
        <f t="shared" ref="U7:U15" si="1">H7</f>
        <v>0</v>
      </c>
      <c r="V7" s="710" t="s">
        <v>23</v>
      </c>
      <c r="W7" s="711">
        <f t="shared" ref="W7:W15" si="2">J7</f>
        <v>0</v>
      </c>
      <c r="X7" s="712"/>
      <c r="Y7" s="3571" t="s">
        <v>2310</v>
      </c>
      <c r="Z7" s="3572"/>
      <c r="AA7" s="713" t="e">
        <f>D7/F7</f>
        <v>#DIV/0!</v>
      </c>
      <c r="AB7" s="713" t="e">
        <f>D7/H7</f>
        <v>#DIV/0!</v>
      </c>
      <c r="AC7" s="713" t="e">
        <f>D7/J7</f>
        <v>#DIV/0!</v>
      </c>
    </row>
    <row r="8" spans="1:29" s="113" customFormat="1" ht="15.75" thickBot="1">
      <c r="A8" s="368" t="s">
        <v>2311</v>
      </c>
      <c r="B8" s="369"/>
      <c r="C8" s="374" t="s">
        <v>2312</v>
      </c>
      <c r="D8" s="371">
        <v>100</v>
      </c>
      <c r="E8" s="2048"/>
      <c r="F8" s="373">
        <f>SUMIF(61:61,E8,62:62)-SUMIF(61:61,C8,62:62)+100</f>
        <v>0</v>
      </c>
      <c r="G8" s="374"/>
      <c r="H8" s="371">
        <f>SUMIF(61:61,G8,62:62)-SUMIF(61:61,C8,62:62)+100</f>
        <v>0</v>
      </c>
      <c r="I8" s="2048"/>
      <c r="J8" s="371">
        <f>SUMIF(61:61,I8,62:62)-SUMIF(61:61,C8,62:62)+100</f>
        <v>0</v>
      </c>
      <c r="K8" s="2047"/>
      <c r="L8" s="2916"/>
      <c r="M8" s="2917"/>
      <c r="N8" s="2917"/>
      <c r="O8" s="2917"/>
      <c r="P8" s="3571" t="s">
        <v>2313</v>
      </c>
      <c r="Q8" s="3572"/>
      <c r="R8" s="710" t="s">
        <v>23</v>
      </c>
      <c r="S8" s="711">
        <f t="shared" si="0"/>
        <v>0</v>
      </c>
      <c r="T8" s="710" t="s">
        <v>23</v>
      </c>
      <c r="U8" s="711">
        <f t="shared" si="1"/>
        <v>0</v>
      </c>
      <c r="V8" s="710" t="s">
        <v>23</v>
      </c>
      <c r="W8" s="711">
        <f t="shared" si="2"/>
        <v>0</v>
      </c>
      <c r="X8" s="712"/>
      <c r="Y8" s="3571" t="s">
        <v>2313</v>
      </c>
      <c r="Z8" s="3572"/>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7"/>
      <c r="L9" s="2916"/>
      <c r="M9" s="2917"/>
      <c r="N9" s="2917"/>
      <c r="O9" s="2917"/>
      <c r="P9" s="3609" t="s">
        <v>2316</v>
      </c>
      <c r="Q9" s="1497" t="str">
        <f t="shared" ref="Q9:Q15" si="6">B9</f>
        <v>用途</v>
      </c>
      <c r="R9" s="710" t="s">
        <v>17</v>
      </c>
      <c r="S9" s="711">
        <f t="shared" si="0"/>
        <v>100</v>
      </c>
      <c r="T9" s="710" t="s">
        <v>17</v>
      </c>
      <c r="U9" s="711">
        <f t="shared" si="1"/>
        <v>100</v>
      </c>
      <c r="V9" s="710" t="s">
        <v>17</v>
      </c>
      <c r="W9" s="711">
        <f t="shared" si="2"/>
        <v>100</v>
      </c>
      <c r="X9" s="712"/>
      <c r="Y9" s="3541"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8"/>
      <c r="M10" s="2919"/>
      <c r="N10" s="2919"/>
      <c r="O10" s="2919"/>
      <c r="P10" s="3609"/>
      <c r="Q10" s="1497" t="str">
        <f t="shared" si="6"/>
        <v>土地使用年限（年）</v>
      </c>
      <c r="R10" s="710" t="s">
        <v>17</v>
      </c>
      <c r="S10" s="711">
        <f t="shared" si="0"/>
        <v>100</v>
      </c>
      <c r="T10" s="710" t="s">
        <v>17</v>
      </c>
      <c r="U10" s="711">
        <f t="shared" si="1"/>
        <v>100</v>
      </c>
      <c r="V10" s="710" t="s">
        <v>17</v>
      </c>
      <c r="W10" s="711">
        <f t="shared" si="2"/>
        <v>100</v>
      </c>
      <c r="X10" s="712"/>
      <c r="Y10" s="3541"/>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20"/>
      <c r="M11" s="2915"/>
      <c r="N11" s="2915"/>
      <c r="O11" s="2915"/>
      <c r="P11" s="3609"/>
      <c r="Q11" s="1497" t="str">
        <f t="shared" si="6"/>
        <v>容积率</v>
      </c>
      <c r="R11" s="710" t="s">
        <v>21</v>
      </c>
      <c r="S11" s="711" t="e">
        <f t="shared" si="0"/>
        <v>#N/A</v>
      </c>
      <c r="T11" s="710" t="s">
        <v>21</v>
      </c>
      <c r="U11" s="711" t="e">
        <f t="shared" si="1"/>
        <v>#N/A</v>
      </c>
      <c r="V11" s="710" t="s">
        <v>21</v>
      </c>
      <c r="W11" s="711" t="e">
        <f t="shared" si="2"/>
        <v>#N/A</v>
      </c>
      <c r="X11" s="712"/>
      <c r="Y11" s="3541"/>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6"/>
      <c r="M12" s="2917"/>
      <c r="N12" s="2917"/>
      <c r="O12" s="2917"/>
      <c r="P12" s="3609"/>
      <c r="Q12" s="1497">
        <f t="shared" si="6"/>
        <v>111</v>
      </c>
      <c r="R12" s="710" t="s">
        <v>21</v>
      </c>
      <c r="S12" s="711">
        <f t="shared" si="0"/>
        <v>100</v>
      </c>
      <c r="T12" s="710" t="s">
        <v>21</v>
      </c>
      <c r="U12" s="711">
        <f t="shared" si="1"/>
        <v>100</v>
      </c>
      <c r="V12" s="710" t="s">
        <v>21</v>
      </c>
      <c r="W12" s="711">
        <f t="shared" si="2"/>
        <v>100</v>
      </c>
      <c r="X12" s="712"/>
      <c r="Y12" s="3541"/>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21"/>
      <c r="M13" s="2915"/>
      <c r="N13" s="2915"/>
      <c r="O13" s="2915"/>
      <c r="P13" s="3609"/>
      <c r="Q13" s="1497">
        <f t="shared" si="6"/>
        <v>111</v>
      </c>
      <c r="R13" s="710" t="s">
        <v>21</v>
      </c>
      <c r="S13" s="711">
        <f t="shared" si="0"/>
        <v>100</v>
      </c>
      <c r="T13" s="710" t="s">
        <v>21</v>
      </c>
      <c r="U13" s="711">
        <f t="shared" si="1"/>
        <v>100</v>
      </c>
      <c r="V13" s="710" t="s">
        <v>21</v>
      </c>
      <c r="W13" s="711">
        <f t="shared" si="2"/>
        <v>100</v>
      </c>
      <c r="X13" s="712"/>
      <c r="Y13" s="3541"/>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21"/>
      <c r="M14" s="2915"/>
      <c r="N14" s="2915"/>
      <c r="O14" s="2915"/>
      <c r="P14" s="3609"/>
      <c r="Q14" s="1497">
        <f t="shared" si="6"/>
        <v>111</v>
      </c>
      <c r="R14" s="710" t="s">
        <v>21</v>
      </c>
      <c r="S14" s="711">
        <f t="shared" si="0"/>
        <v>100</v>
      </c>
      <c r="T14" s="710" t="s">
        <v>21</v>
      </c>
      <c r="U14" s="711">
        <f t="shared" si="1"/>
        <v>100</v>
      </c>
      <c r="V14" s="710" t="s">
        <v>21</v>
      </c>
      <c r="W14" s="711">
        <f t="shared" si="2"/>
        <v>100</v>
      </c>
      <c r="X14" s="712"/>
      <c r="Y14" s="3541"/>
      <c r="Z14" s="55">
        <f t="shared" si="7"/>
        <v>111</v>
      </c>
      <c r="AA14" s="713">
        <f t="shared" si="3"/>
        <v>1</v>
      </c>
      <c r="AB14" s="713">
        <f t="shared" si="4"/>
        <v>1</v>
      </c>
      <c r="AC14" s="713">
        <f t="shared" si="5"/>
        <v>1</v>
      </c>
    </row>
    <row r="15" spans="1:29" ht="99.75">
      <c r="A15" s="399" t="s">
        <v>2320</v>
      </c>
      <c r="B15" s="65" t="s">
        <v>1883</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1"/>
      <c r="M15" s="2915"/>
      <c r="N15" s="2915"/>
      <c r="O15" s="2915"/>
      <c r="P15" s="3643" t="s">
        <v>2321</v>
      </c>
      <c r="Q15" s="1506" t="str">
        <f t="shared" si="6"/>
        <v>居住社区成熟度</v>
      </c>
      <c r="R15" s="714" t="s">
        <v>21</v>
      </c>
      <c r="S15" s="715">
        <f t="shared" si="0"/>
        <v>100</v>
      </c>
      <c r="T15" s="714" t="s">
        <v>21</v>
      </c>
      <c r="U15" s="715">
        <f t="shared" si="1"/>
        <v>100</v>
      </c>
      <c r="V15" s="714" t="s">
        <v>21</v>
      </c>
      <c r="W15" s="715">
        <f t="shared" si="2"/>
        <v>100</v>
      </c>
      <c r="X15" s="1509"/>
      <c r="Y15" s="3600" t="s">
        <v>2321</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21"/>
      <c r="M16" s="2915"/>
      <c r="N16" s="2915"/>
      <c r="O16" s="2915"/>
      <c r="P16" s="3644"/>
      <c r="Q16" s="1506"/>
      <c r="R16" s="714"/>
      <c r="S16" s="715"/>
      <c r="T16" s="714"/>
      <c r="U16" s="715"/>
      <c r="V16" s="714"/>
      <c r="W16" s="715"/>
      <c r="X16" s="1509"/>
      <c r="Y16" s="3601"/>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1"/>
      <c r="M17" s="2915"/>
      <c r="N17" s="2915"/>
      <c r="O17" s="2915"/>
      <c r="P17" s="3644"/>
      <c r="Q17" s="1506" t="str">
        <f>B17</f>
        <v>交通便捷度</v>
      </c>
      <c r="R17" s="714" t="s">
        <v>21</v>
      </c>
      <c r="S17" s="715">
        <f>F17</f>
        <v>100</v>
      </c>
      <c r="T17" s="714" t="s">
        <v>21</v>
      </c>
      <c r="U17" s="715">
        <f>H17</f>
        <v>100</v>
      </c>
      <c r="V17" s="714" t="s">
        <v>21</v>
      </c>
      <c r="W17" s="715">
        <f>J17</f>
        <v>100</v>
      </c>
      <c r="X17" s="1509"/>
      <c r="Y17" s="3601"/>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21"/>
      <c r="M18" s="2915"/>
      <c r="N18" s="2915"/>
      <c r="O18" s="2915"/>
      <c r="P18" s="3644"/>
      <c r="Q18" s="1506"/>
      <c r="R18" s="714"/>
      <c r="S18" s="715"/>
      <c r="T18" s="714"/>
      <c r="U18" s="715"/>
      <c r="V18" s="714"/>
      <c r="W18" s="715"/>
      <c r="X18" s="1509"/>
      <c r="Y18" s="3601"/>
      <c r="Z18" s="1510"/>
      <c r="AA18" s="1507">
        <v>1</v>
      </c>
      <c r="AB18" s="1507">
        <v>1</v>
      </c>
      <c r="AC18" s="1507">
        <v>1</v>
      </c>
    </row>
    <row r="19" spans="1:29" ht="42.75">
      <c r="A19" s="387"/>
      <c r="B19" s="410" t="s">
        <v>1884</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1"/>
      <c r="M19" s="2915"/>
      <c r="N19" s="2915"/>
      <c r="O19" s="2915"/>
      <c r="P19" s="3644"/>
      <c r="Q19" s="1506" t="str">
        <f>B19</f>
        <v>公共配套设施</v>
      </c>
      <c r="R19" s="714" t="s">
        <v>21</v>
      </c>
      <c r="S19" s="715">
        <f>F19</f>
        <v>100</v>
      </c>
      <c r="T19" s="714" t="s">
        <v>21</v>
      </c>
      <c r="U19" s="715">
        <f>H19</f>
        <v>100</v>
      </c>
      <c r="V19" s="714" t="s">
        <v>21</v>
      </c>
      <c r="W19" s="715">
        <f>J19</f>
        <v>100</v>
      </c>
      <c r="X19" s="1509"/>
      <c r="Y19" s="3601"/>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21"/>
      <c r="M20" s="2915"/>
      <c r="N20" s="2915"/>
      <c r="O20" s="2915"/>
      <c r="P20" s="3644"/>
      <c r="Q20" s="1506"/>
      <c r="R20" s="714"/>
      <c r="S20" s="715"/>
      <c r="T20" s="714"/>
      <c r="U20" s="715"/>
      <c r="V20" s="714"/>
      <c r="W20" s="715"/>
      <c r="X20" s="1509"/>
      <c r="Y20" s="3601"/>
      <c r="Z20" s="1510"/>
      <c r="AA20" s="1507">
        <v>1</v>
      </c>
      <c r="AB20" s="1507">
        <v>1</v>
      </c>
      <c r="AC20" s="1507">
        <v>1</v>
      </c>
    </row>
    <row r="21" spans="1:29" ht="28.5">
      <c r="A21" s="387"/>
      <c r="B21" s="1265" t="s">
        <v>1886</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1"/>
      <c r="M21" s="2915"/>
      <c r="N21" s="2915"/>
      <c r="O21" s="2915"/>
      <c r="P21" s="3644"/>
      <c r="Q21" s="1506" t="str">
        <f>B21</f>
        <v>基础设施水平</v>
      </c>
      <c r="R21" s="714" t="s">
        <v>17</v>
      </c>
      <c r="S21" s="715">
        <f>F21</f>
        <v>100</v>
      </c>
      <c r="T21" s="714" t="s">
        <v>17</v>
      </c>
      <c r="U21" s="715">
        <f>H21</f>
        <v>100</v>
      </c>
      <c r="V21" s="714" t="s">
        <v>17</v>
      </c>
      <c r="W21" s="715">
        <f>J21</f>
        <v>100</v>
      </c>
      <c r="X21" s="1509"/>
      <c r="Y21" s="3601"/>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21"/>
      <c r="M22" s="2915"/>
      <c r="N22" s="2915"/>
      <c r="O22" s="2915"/>
      <c r="P22" s="3644"/>
      <c r="Q22" s="1506"/>
      <c r="R22" s="714"/>
      <c r="S22" s="715"/>
      <c r="T22" s="714"/>
      <c r="U22" s="715"/>
      <c r="V22" s="714"/>
      <c r="W22" s="715"/>
      <c r="X22" s="1509"/>
      <c r="Y22" s="3601"/>
      <c r="Z22" s="1510"/>
      <c r="AA22" s="1507">
        <v>1</v>
      </c>
      <c r="AB22" s="1507">
        <v>1</v>
      </c>
      <c r="AC22" s="1507">
        <v>1</v>
      </c>
    </row>
    <row r="23" spans="1:29" ht="57">
      <c r="A23" s="387"/>
      <c r="B23" s="410" t="s">
        <v>1887</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1"/>
      <c r="M23" s="2915"/>
      <c r="N23" s="2915"/>
      <c r="O23" s="2915"/>
      <c r="P23" s="3644"/>
      <c r="Q23" s="1506" t="str">
        <f>B23</f>
        <v>自然及人文环境</v>
      </c>
      <c r="R23" s="714" t="s">
        <v>21</v>
      </c>
      <c r="S23" s="715">
        <f>F23</f>
        <v>100</v>
      </c>
      <c r="T23" s="714" t="s">
        <v>21</v>
      </c>
      <c r="U23" s="715">
        <f>H23</f>
        <v>100</v>
      </c>
      <c r="V23" s="714" t="s">
        <v>21</v>
      </c>
      <c r="W23" s="715">
        <f>J23</f>
        <v>100</v>
      </c>
      <c r="X23" s="1509"/>
      <c r="Y23" s="3601"/>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21"/>
      <c r="M24" s="2915"/>
      <c r="N24" s="2915"/>
      <c r="O24" s="2915"/>
      <c r="P24" s="3644"/>
      <c r="Q24" s="1506"/>
      <c r="R24" s="714"/>
      <c r="S24" s="715"/>
      <c r="T24" s="714"/>
      <c r="U24" s="715"/>
      <c r="V24" s="714"/>
      <c r="W24" s="715"/>
      <c r="X24" s="1509"/>
      <c r="Y24" s="3601"/>
      <c r="Z24" s="1510"/>
      <c r="AA24" s="1507">
        <v>1</v>
      </c>
      <c r="AB24" s="1507">
        <v>1</v>
      </c>
      <c r="AC24" s="1507">
        <v>1</v>
      </c>
    </row>
    <row r="25" spans="1:29" ht="15">
      <c r="A25" s="387"/>
      <c r="B25" s="381" t="s">
        <v>2322</v>
      </c>
      <c r="C25" s="419"/>
      <c r="D25" s="394">
        <v>100</v>
      </c>
      <c r="E25" s="2062"/>
      <c r="F25" s="394">
        <f>SUMIF(86:86,E25,87:87)-SUMIF(86:86,C25,87:87)+100</f>
        <v>100</v>
      </c>
      <c r="G25" s="2063"/>
      <c r="H25" s="394">
        <f>SUMIF(86:86,G25,87:87)-SUMIF(86:86,C25,87:87)+100</f>
        <v>100</v>
      </c>
      <c r="I25" s="2063"/>
      <c r="J25" s="394">
        <f>SUMIF(86:86,I25,87:87)-SUMIF(86:86,C25,87:87)+100</f>
        <v>100</v>
      </c>
      <c r="K25" s="385"/>
      <c r="L25" s="2921"/>
      <c r="M25" s="2915"/>
      <c r="N25" s="2915"/>
      <c r="O25" s="2915"/>
      <c r="P25" s="3644"/>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601"/>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2"/>
      <c r="F26" s="394">
        <f>SUMIF(88:88,E26,89:89)-SUMIF(88:88,C26,89:89)+100</f>
        <v>100</v>
      </c>
      <c r="G26" s="2063"/>
      <c r="H26" s="394">
        <f>SUMIF(88:88,G26,89:89)-SUMIF(88:88,C26,89:89)+100</f>
        <v>100</v>
      </c>
      <c r="I26" s="2063"/>
      <c r="J26" s="394">
        <f>SUMIF(88:88,I26,89:89)-SUMIF(88:88,C26,89:89)+100</f>
        <v>100</v>
      </c>
      <c r="K26" s="385"/>
      <c r="L26" s="2921"/>
      <c r="M26" s="2915"/>
      <c r="N26" s="2915"/>
      <c r="O26" s="2915"/>
      <c r="P26" s="3644"/>
      <c r="Q26" s="1506" t="str">
        <f t="shared" si="11"/>
        <v>朝向</v>
      </c>
      <c r="R26" s="714" t="s">
        <v>21</v>
      </c>
      <c r="S26" s="715">
        <f t="shared" si="12"/>
        <v>100</v>
      </c>
      <c r="T26" s="714" t="s">
        <v>21</v>
      </c>
      <c r="U26" s="715">
        <f t="shared" si="13"/>
        <v>100</v>
      </c>
      <c r="V26" s="714" t="s">
        <v>21</v>
      </c>
      <c r="W26" s="715">
        <f t="shared" si="14"/>
        <v>100</v>
      </c>
      <c r="X26" s="1509"/>
      <c r="Y26" s="3601"/>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6"/>
      <c r="M27" s="2917"/>
      <c r="N27" s="2917"/>
      <c r="O27" s="2917"/>
      <c r="P27" s="3644"/>
      <c r="Q27" s="1497">
        <f t="shared" si="11"/>
        <v>111</v>
      </c>
      <c r="R27" s="710" t="s">
        <v>21</v>
      </c>
      <c r="S27" s="711">
        <f t="shared" si="12"/>
        <v>100</v>
      </c>
      <c r="T27" s="710" t="s">
        <v>21</v>
      </c>
      <c r="U27" s="711">
        <f t="shared" si="13"/>
        <v>100</v>
      </c>
      <c r="V27" s="710" t="s">
        <v>21</v>
      </c>
      <c r="W27" s="711">
        <f t="shared" si="14"/>
        <v>100</v>
      </c>
      <c r="X27" s="712"/>
      <c r="Y27" s="3601"/>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21"/>
      <c r="M28" s="2915"/>
      <c r="N28" s="2915"/>
      <c r="O28" s="2915"/>
      <c r="P28" s="3644"/>
      <c r="Q28" s="1506">
        <f t="shared" si="11"/>
        <v>111</v>
      </c>
      <c r="R28" s="714" t="s">
        <v>21</v>
      </c>
      <c r="S28" s="715">
        <f t="shared" si="12"/>
        <v>100</v>
      </c>
      <c r="T28" s="714" t="s">
        <v>21</v>
      </c>
      <c r="U28" s="715">
        <f t="shared" si="13"/>
        <v>100</v>
      </c>
      <c r="V28" s="714" t="s">
        <v>21</v>
      </c>
      <c r="W28" s="715">
        <f t="shared" si="14"/>
        <v>100</v>
      </c>
      <c r="X28" s="1509"/>
      <c r="Y28" s="3601"/>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21"/>
      <c r="M29" s="2915"/>
      <c r="N29" s="2915"/>
      <c r="O29" s="2915"/>
      <c r="P29" s="3644"/>
      <c r="Q29" s="1506">
        <f t="shared" si="11"/>
        <v>111</v>
      </c>
      <c r="R29" s="714" t="s">
        <v>21</v>
      </c>
      <c r="S29" s="715">
        <f t="shared" si="12"/>
        <v>100</v>
      </c>
      <c r="T29" s="714" t="s">
        <v>21</v>
      </c>
      <c r="U29" s="715">
        <f t="shared" si="13"/>
        <v>100</v>
      </c>
      <c r="V29" s="714" t="s">
        <v>21</v>
      </c>
      <c r="W29" s="715">
        <f t="shared" si="14"/>
        <v>100</v>
      </c>
      <c r="X29" s="1509"/>
      <c r="Y29" s="3601"/>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21"/>
      <c r="M30" s="2915"/>
      <c r="N30" s="2915"/>
      <c r="O30" s="2915"/>
      <c r="P30" s="3644"/>
      <c r="Q30" s="1506">
        <f t="shared" si="11"/>
        <v>111</v>
      </c>
      <c r="R30" s="714" t="s">
        <v>21</v>
      </c>
      <c r="S30" s="715">
        <f t="shared" si="12"/>
        <v>100</v>
      </c>
      <c r="T30" s="714" t="s">
        <v>21</v>
      </c>
      <c r="U30" s="715">
        <f t="shared" si="13"/>
        <v>100</v>
      </c>
      <c r="V30" s="714" t="s">
        <v>21</v>
      </c>
      <c r="W30" s="715">
        <f t="shared" si="14"/>
        <v>100</v>
      </c>
      <c r="X30" s="1509"/>
      <c r="Y30" s="3601"/>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21"/>
      <c r="M31" s="2915"/>
      <c r="N31" s="2915"/>
      <c r="O31" s="2915"/>
      <c r="P31" s="3644"/>
      <c r="Q31" s="1506">
        <f t="shared" si="11"/>
        <v>111</v>
      </c>
      <c r="R31" s="714" t="s">
        <v>21</v>
      </c>
      <c r="S31" s="715">
        <f t="shared" si="12"/>
        <v>100</v>
      </c>
      <c r="T31" s="714" t="s">
        <v>21</v>
      </c>
      <c r="U31" s="715">
        <f t="shared" si="13"/>
        <v>100</v>
      </c>
      <c r="V31" s="714" t="s">
        <v>21</v>
      </c>
      <c r="W31" s="715">
        <f t="shared" si="14"/>
        <v>100</v>
      </c>
      <c r="X31" s="1509"/>
      <c r="Y31" s="3601"/>
      <c r="Z31" s="1510">
        <f t="shared" si="18"/>
        <v>111</v>
      </c>
      <c r="AA31" s="1507">
        <f t="shared" si="15"/>
        <v>1</v>
      </c>
      <c r="AB31" s="1507">
        <f t="shared" si="16"/>
        <v>1</v>
      </c>
      <c r="AC31" s="1507">
        <f t="shared" si="17"/>
        <v>1</v>
      </c>
    </row>
    <row r="32" spans="1:29" ht="15">
      <c r="A32" s="399" t="s">
        <v>2324</v>
      </c>
      <c r="B32" s="67" t="s">
        <v>2325</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21"/>
      <c r="M32" s="2915"/>
      <c r="N32" s="2915"/>
      <c r="O32" s="2915"/>
      <c r="P32" s="3639" t="s">
        <v>2326</v>
      </c>
      <c r="Q32" s="1506" t="str">
        <f t="shared" si="11"/>
        <v>建筑类型</v>
      </c>
      <c r="R32" s="714" t="s">
        <v>21</v>
      </c>
      <c r="S32" s="715">
        <f t="shared" si="12"/>
        <v>100</v>
      </c>
      <c r="T32" s="714" t="s">
        <v>21</v>
      </c>
      <c r="U32" s="715">
        <f t="shared" si="13"/>
        <v>100</v>
      </c>
      <c r="V32" s="714" t="s">
        <v>21</v>
      </c>
      <c r="W32" s="715">
        <f t="shared" si="14"/>
        <v>100</v>
      </c>
      <c r="X32" s="1509"/>
      <c r="Y32" s="3603"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20"/>
      <c r="M33" s="2922"/>
      <c r="N33" s="2922"/>
      <c r="O33" s="2922"/>
      <c r="P33" s="3640"/>
      <c r="Q33" s="716" t="str">
        <f t="shared" si="11"/>
        <v>项目建筑规模</v>
      </c>
      <c r="R33" s="717" t="s">
        <v>21</v>
      </c>
      <c r="S33" s="718" t="e">
        <f t="shared" si="12"/>
        <v>#N/A</v>
      </c>
      <c r="T33" s="717" t="s">
        <v>21</v>
      </c>
      <c r="U33" s="718" t="e">
        <f t="shared" si="13"/>
        <v>#N/A</v>
      </c>
      <c r="V33" s="717" t="s">
        <v>21</v>
      </c>
      <c r="W33" s="718" t="e">
        <f t="shared" si="14"/>
        <v>#N/A</v>
      </c>
      <c r="X33" s="719"/>
      <c r="Y33" s="3603"/>
      <c r="Z33" s="720" t="str">
        <f t="shared" si="18"/>
        <v>项目建筑规模</v>
      </c>
      <c r="AA33" s="1507" t="e">
        <f t="shared" si="15"/>
        <v>#N/A</v>
      </c>
      <c r="AB33" s="1507" t="e">
        <f t="shared" si="16"/>
        <v>#N/A</v>
      </c>
      <c r="AC33" s="1507" t="e">
        <f t="shared" si="17"/>
        <v>#N/A</v>
      </c>
    </row>
    <row r="34" spans="1:29" ht="15">
      <c r="A34" s="431"/>
      <c r="B34" s="381" t="s">
        <v>2328</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21"/>
      <c r="M34" s="2915"/>
      <c r="N34" s="2915"/>
      <c r="O34" s="2915"/>
      <c r="P34" s="3640"/>
      <c r="Q34" s="1506" t="str">
        <f t="shared" si="11"/>
        <v>建筑结构</v>
      </c>
      <c r="R34" s="714" t="s">
        <v>21</v>
      </c>
      <c r="S34" s="715">
        <f t="shared" si="12"/>
        <v>100</v>
      </c>
      <c r="T34" s="714" t="s">
        <v>21</v>
      </c>
      <c r="U34" s="715">
        <f t="shared" si="13"/>
        <v>100</v>
      </c>
      <c r="V34" s="714" t="s">
        <v>21</v>
      </c>
      <c r="W34" s="715">
        <f t="shared" si="14"/>
        <v>100</v>
      </c>
      <c r="X34" s="1509"/>
      <c r="Y34" s="3603"/>
      <c r="Z34" s="1510" t="str">
        <f t="shared" si="18"/>
        <v>建筑结构</v>
      </c>
      <c r="AA34" s="1507">
        <f t="shared" si="15"/>
        <v>1</v>
      </c>
      <c r="AB34" s="1507">
        <f t="shared" si="16"/>
        <v>1</v>
      </c>
      <c r="AC34" s="1507">
        <f t="shared" si="17"/>
        <v>1</v>
      </c>
    </row>
    <row r="35" spans="1:29" ht="15">
      <c r="A35" s="431"/>
      <c r="B35" s="381" t="s">
        <v>2329</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21"/>
      <c r="M35" s="2915"/>
      <c r="N35" s="2915"/>
      <c r="O35" s="2915"/>
      <c r="P35" s="3640"/>
      <c r="Q35" s="1506" t="str">
        <f t="shared" si="11"/>
        <v>建筑品质</v>
      </c>
      <c r="R35" s="714" t="s">
        <v>21</v>
      </c>
      <c r="S35" s="715">
        <f t="shared" si="12"/>
        <v>100</v>
      </c>
      <c r="T35" s="714" t="s">
        <v>21</v>
      </c>
      <c r="U35" s="715">
        <f t="shared" si="13"/>
        <v>100</v>
      </c>
      <c r="V35" s="714" t="s">
        <v>21</v>
      </c>
      <c r="W35" s="715">
        <f t="shared" si="14"/>
        <v>100</v>
      </c>
      <c r="X35" s="1509"/>
      <c r="Y35" s="3603"/>
      <c r="Z35" s="1510" t="str">
        <f t="shared" si="18"/>
        <v>建筑品质</v>
      </c>
      <c r="AA35" s="1507">
        <f t="shared" si="15"/>
        <v>1</v>
      </c>
      <c r="AB35" s="1507">
        <f t="shared" si="16"/>
        <v>1</v>
      </c>
      <c r="AC35" s="1507">
        <f t="shared" si="17"/>
        <v>1</v>
      </c>
    </row>
    <row r="36" spans="1:29" ht="15">
      <c r="A36" s="431"/>
      <c r="B36" s="381" t="s">
        <v>2330</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21"/>
      <c r="M36" s="2915"/>
      <c r="N36" s="2915"/>
      <c r="O36" s="2915"/>
      <c r="P36" s="3640"/>
      <c r="Q36" s="1506" t="str">
        <f t="shared" si="11"/>
        <v>公共部分装修</v>
      </c>
      <c r="R36" s="714" t="s">
        <v>21</v>
      </c>
      <c r="S36" s="715">
        <f t="shared" si="12"/>
        <v>100</v>
      </c>
      <c r="T36" s="714" t="s">
        <v>21</v>
      </c>
      <c r="U36" s="715">
        <f t="shared" si="13"/>
        <v>100</v>
      </c>
      <c r="V36" s="714" t="s">
        <v>21</v>
      </c>
      <c r="W36" s="715">
        <f t="shared" si="14"/>
        <v>100</v>
      </c>
      <c r="X36" s="1509"/>
      <c r="Y36" s="3603"/>
      <c r="Z36" s="1510" t="str">
        <f t="shared" si="18"/>
        <v>公共部分装修</v>
      </c>
      <c r="AA36" s="1507">
        <f t="shared" si="15"/>
        <v>1</v>
      </c>
      <c r="AB36" s="1507">
        <f t="shared" si="16"/>
        <v>1</v>
      </c>
      <c r="AC36" s="1507">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6"/>
      <c r="M37" s="2917"/>
      <c r="N37" s="2917"/>
      <c r="O37" s="2917"/>
      <c r="P37" s="3640"/>
      <c r="Q37" s="1497" t="str">
        <f t="shared" si="11"/>
        <v>成新度</v>
      </c>
      <c r="R37" s="710" t="s">
        <v>21</v>
      </c>
      <c r="S37" s="711" t="e">
        <f t="shared" si="12"/>
        <v>#N/A</v>
      </c>
      <c r="T37" s="710" t="s">
        <v>21</v>
      </c>
      <c r="U37" s="711" t="e">
        <f t="shared" si="13"/>
        <v>#N/A</v>
      </c>
      <c r="V37" s="710" t="s">
        <v>21</v>
      </c>
      <c r="W37" s="711" t="e">
        <f t="shared" si="14"/>
        <v>#N/A</v>
      </c>
      <c r="X37" s="712"/>
      <c r="Y37" s="3603"/>
      <c r="Z37" s="55" t="str">
        <f t="shared" si="18"/>
        <v>成新度</v>
      </c>
      <c r="AA37" s="713" t="e">
        <f t="shared" si="15"/>
        <v>#N/A</v>
      </c>
      <c r="AB37" s="713" t="e">
        <f t="shared" si="16"/>
        <v>#N/A</v>
      </c>
      <c r="AC37" s="713" t="e">
        <f t="shared" si="17"/>
        <v>#N/A</v>
      </c>
    </row>
    <row r="38" spans="1:29" ht="15">
      <c r="A38" s="431"/>
      <c r="B38" s="381" t="s">
        <v>2332</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21"/>
      <c r="M38" s="2915"/>
      <c r="N38" s="2915"/>
      <c r="O38" s="2915"/>
      <c r="P38" s="3640" t="s">
        <v>2326</v>
      </c>
      <c r="Q38" s="1506" t="str">
        <f t="shared" si="11"/>
        <v>物业管理</v>
      </c>
      <c r="R38" s="714" t="s">
        <v>21</v>
      </c>
      <c r="S38" s="715">
        <f t="shared" si="12"/>
        <v>100</v>
      </c>
      <c r="T38" s="714" t="s">
        <v>21</v>
      </c>
      <c r="U38" s="715">
        <f t="shared" si="13"/>
        <v>100</v>
      </c>
      <c r="V38" s="714" t="s">
        <v>21</v>
      </c>
      <c r="W38" s="715">
        <f t="shared" si="14"/>
        <v>100</v>
      </c>
      <c r="X38" s="1509"/>
      <c r="Y38" s="3603" t="s">
        <v>2326</v>
      </c>
      <c r="Z38" s="1510" t="str">
        <f t="shared" si="18"/>
        <v>物业管理</v>
      </c>
      <c r="AA38" s="1507">
        <f t="shared" si="15"/>
        <v>1</v>
      </c>
      <c r="AB38" s="1507">
        <f t="shared" si="16"/>
        <v>1</v>
      </c>
      <c r="AC38" s="1507">
        <f t="shared" si="17"/>
        <v>1</v>
      </c>
    </row>
    <row r="39" spans="1:29" ht="15">
      <c r="A39" s="431"/>
      <c r="B39" s="381" t="s">
        <v>2333</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21"/>
      <c r="M39" s="2915"/>
      <c r="N39" s="2915"/>
      <c r="O39" s="2915"/>
      <c r="P39" s="3640"/>
      <c r="Q39" s="1506" t="str">
        <f t="shared" si="11"/>
        <v>市政基础设施</v>
      </c>
      <c r="R39" s="714" t="s">
        <v>21</v>
      </c>
      <c r="S39" s="715">
        <f t="shared" si="12"/>
        <v>100</v>
      </c>
      <c r="T39" s="714" t="s">
        <v>21</v>
      </c>
      <c r="U39" s="715">
        <f t="shared" si="13"/>
        <v>100</v>
      </c>
      <c r="V39" s="714" t="s">
        <v>21</v>
      </c>
      <c r="W39" s="715">
        <f t="shared" si="14"/>
        <v>100</v>
      </c>
      <c r="X39" s="1509"/>
      <c r="Y39" s="3603"/>
      <c r="Z39" s="1510" t="str">
        <f t="shared" si="18"/>
        <v>市政基础设施</v>
      </c>
      <c r="AA39" s="1507">
        <f t="shared" si="15"/>
        <v>1</v>
      </c>
      <c r="AB39" s="1507">
        <f t="shared" si="16"/>
        <v>1</v>
      </c>
      <c r="AC39" s="1507">
        <f t="shared" si="17"/>
        <v>1</v>
      </c>
    </row>
    <row r="40" spans="1:29" ht="15">
      <c r="A40" s="431"/>
      <c r="B40" s="381" t="s">
        <v>2334</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21"/>
      <c r="M40" s="2915"/>
      <c r="N40" s="2915"/>
      <c r="O40" s="2915"/>
      <c r="P40" s="3640"/>
      <c r="Q40" s="1506" t="str">
        <f t="shared" si="11"/>
        <v>房型</v>
      </c>
      <c r="R40" s="714" t="s">
        <v>21</v>
      </c>
      <c r="S40" s="715">
        <f t="shared" si="12"/>
        <v>100</v>
      </c>
      <c r="T40" s="714" t="s">
        <v>21</v>
      </c>
      <c r="U40" s="715">
        <f t="shared" si="13"/>
        <v>100</v>
      </c>
      <c r="V40" s="714" t="s">
        <v>21</v>
      </c>
      <c r="W40" s="715">
        <f t="shared" si="14"/>
        <v>100</v>
      </c>
      <c r="X40" s="1509"/>
      <c r="Y40" s="3603"/>
      <c r="Z40" s="1510" t="str">
        <f t="shared" si="18"/>
        <v>房型</v>
      </c>
      <c r="AA40" s="1507">
        <f t="shared" si="15"/>
        <v>1</v>
      </c>
      <c r="AB40" s="1507">
        <f t="shared" si="16"/>
        <v>1</v>
      </c>
      <c r="AC40" s="1507">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20"/>
      <c r="M41" s="2922"/>
      <c r="N41" s="2922"/>
      <c r="O41" s="2922"/>
      <c r="P41" s="3640"/>
      <c r="Q41" s="716" t="str">
        <f t="shared" si="11"/>
        <v>单套/主力户型建筑面积</v>
      </c>
      <c r="R41" s="717" t="s">
        <v>21</v>
      </c>
      <c r="S41" s="718">
        <f t="shared" si="12"/>
        <v>100</v>
      </c>
      <c r="T41" s="717" t="s">
        <v>21</v>
      </c>
      <c r="U41" s="718">
        <f t="shared" si="13"/>
        <v>100</v>
      </c>
      <c r="V41" s="717" t="s">
        <v>21</v>
      </c>
      <c r="W41" s="718">
        <f t="shared" si="14"/>
        <v>100</v>
      </c>
      <c r="X41" s="719"/>
      <c r="Y41" s="3603"/>
      <c r="Z41" s="720" t="str">
        <f t="shared" si="18"/>
        <v>单套/主力户型建筑面积</v>
      </c>
      <c r="AA41" s="1507">
        <f t="shared" si="15"/>
        <v>1</v>
      </c>
      <c r="AB41" s="1507">
        <f t="shared" si="16"/>
        <v>1</v>
      </c>
      <c r="AC41" s="1507">
        <f t="shared" si="17"/>
        <v>1</v>
      </c>
    </row>
    <row r="42" spans="1:29" ht="15">
      <c r="A42" s="431"/>
      <c r="B42" s="381" t="s">
        <v>2336</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21"/>
      <c r="M42" s="2915"/>
      <c r="N42" s="2915"/>
      <c r="O42" s="2915"/>
      <c r="P42" s="3640"/>
      <c r="Q42" s="1506" t="str">
        <f t="shared" si="11"/>
        <v>内部装修</v>
      </c>
      <c r="R42" s="714" t="s">
        <v>21</v>
      </c>
      <c r="S42" s="715">
        <f t="shared" si="12"/>
        <v>100</v>
      </c>
      <c r="T42" s="714" t="s">
        <v>21</v>
      </c>
      <c r="U42" s="715">
        <f t="shared" si="13"/>
        <v>100</v>
      </c>
      <c r="V42" s="714" t="s">
        <v>21</v>
      </c>
      <c r="W42" s="715">
        <f t="shared" si="14"/>
        <v>100</v>
      </c>
      <c r="X42" s="1509"/>
      <c r="Y42" s="3603"/>
      <c r="Z42" s="1510" t="str">
        <f t="shared" si="18"/>
        <v>内部装修</v>
      </c>
      <c r="AA42" s="1507">
        <f t="shared" si="15"/>
        <v>1</v>
      </c>
      <c r="AB42" s="1507">
        <f t="shared" si="16"/>
        <v>1</v>
      </c>
      <c r="AC42" s="1507">
        <f t="shared" si="17"/>
        <v>1</v>
      </c>
    </row>
    <row r="43" spans="1:29" ht="15">
      <c r="A43" s="431"/>
      <c r="B43" s="381" t="s">
        <v>2337</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21"/>
      <c r="M43" s="2915"/>
      <c r="N43" s="2915"/>
      <c r="O43" s="2915"/>
      <c r="P43" s="3640"/>
      <c r="Q43" s="1506" t="str">
        <f t="shared" si="11"/>
        <v>内部装修维护情况</v>
      </c>
      <c r="R43" s="714" t="s">
        <v>21</v>
      </c>
      <c r="S43" s="715">
        <f t="shared" si="12"/>
        <v>100</v>
      </c>
      <c r="T43" s="714" t="s">
        <v>21</v>
      </c>
      <c r="U43" s="715">
        <f t="shared" si="13"/>
        <v>100</v>
      </c>
      <c r="V43" s="714" t="s">
        <v>21</v>
      </c>
      <c r="W43" s="715">
        <f t="shared" si="14"/>
        <v>100</v>
      </c>
      <c r="X43" s="1509"/>
      <c r="Y43" s="3603"/>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6"/>
      <c r="M44" s="2917"/>
      <c r="N44" s="2917"/>
      <c r="O44" s="2917"/>
      <c r="P44" s="3640"/>
      <c r="Q44" s="1497">
        <f t="shared" si="11"/>
        <v>111</v>
      </c>
      <c r="R44" s="710" t="s">
        <v>21</v>
      </c>
      <c r="S44" s="711">
        <f t="shared" si="12"/>
        <v>100</v>
      </c>
      <c r="T44" s="710" t="s">
        <v>21</v>
      </c>
      <c r="U44" s="711">
        <f t="shared" si="13"/>
        <v>100</v>
      </c>
      <c r="V44" s="710" t="s">
        <v>21</v>
      </c>
      <c r="W44" s="711">
        <f t="shared" si="14"/>
        <v>100</v>
      </c>
      <c r="X44" s="712"/>
      <c r="Y44" s="3603"/>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21"/>
      <c r="M45" s="2915"/>
      <c r="N45" s="2915"/>
      <c r="O45" s="2915"/>
      <c r="P45" s="3640"/>
      <c r="Q45" s="1506">
        <f t="shared" si="11"/>
        <v>111</v>
      </c>
      <c r="R45" s="714" t="s">
        <v>21</v>
      </c>
      <c r="S45" s="715">
        <f t="shared" si="12"/>
        <v>100</v>
      </c>
      <c r="T45" s="714" t="s">
        <v>21</v>
      </c>
      <c r="U45" s="715">
        <f t="shared" si="13"/>
        <v>100</v>
      </c>
      <c r="V45" s="714" t="s">
        <v>21</v>
      </c>
      <c r="W45" s="715">
        <f t="shared" si="14"/>
        <v>100</v>
      </c>
      <c r="X45" s="1509"/>
      <c r="Y45" s="3603"/>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21"/>
      <c r="M46" s="2915"/>
      <c r="N46" s="2915"/>
      <c r="O46" s="2915"/>
      <c r="P46" s="3641"/>
      <c r="Q46" s="1506">
        <f t="shared" si="11"/>
        <v>111</v>
      </c>
      <c r="R46" s="714" t="s">
        <v>20</v>
      </c>
      <c r="S46" s="715">
        <f t="shared" si="12"/>
        <v>100</v>
      </c>
      <c r="T46" s="714" t="s">
        <v>20</v>
      </c>
      <c r="U46" s="715">
        <f t="shared" si="13"/>
        <v>100</v>
      </c>
      <c r="V46" s="714" t="s">
        <v>20</v>
      </c>
      <c r="W46" s="715">
        <f t="shared" si="14"/>
        <v>100</v>
      </c>
      <c r="X46" s="1509"/>
      <c r="Y46" s="3642"/>
      <c r="Z46" s="1510">
        <f t="shared" si="18"/>
        <v>111</v>
      </c>
      <c r="AA46" s="1507">
        <f t="shared" si="15"/>
        <v>1</v>
      </c>
      <c r="AB46" s="1507">
        <f t="shared" si="16"/>
        <v>1</v>
      </c>
      <c r="AC46" s="1507">
        <f t="shared" si="17"/>
        <v>1</v>
      </c>
    </row>
    <row r="47" spans="1:29" ht="15">
      <c r="A47" s="438" t="s">
        <v>2338</v>
      </c>
      <c r="B47" s="439"/>
      <c r="C47" s="1288" t="s">
        <v>19</v>
      </c>
      <c r="D47" s="1289"/>
      <c r="E47" s="1290"/>
      <c r="F47" s="1291"/>
      <c r="G47" s="1292"/>
      <c r="H47" s="1293"/>
      <c r="I47" s="1290"/>
      <c r="J47" s="1293"/>
      <c r="K47" s="2070"/>
      <c r="L47" s="2923"/>
      <c r="M47" s="2924"/>
      <c r="N47" s="2915"/>
      <c r="O47" s="2924"/>
      <c r="P47" s="3585" t="str">
        <f>A47</f>
        <v>成交单价（元/平方米）</v>
      </c>
      <c r="Q47" s="3585"/>
      <c r="R47" s="3638">
        <f>E47</f>
        <v>0</v>
      </c>
      <c r="S47" s="3638"/>
      <c r="T47" s="3638">
        <f>G47</f>
        <v>0</v>
      </c>
      <c r="U47" s="3638"/>
      <c r="V47" s="3638">
        <f>I47</f>
        <v>0</v>
      </c>
      <c r="W47" s="3638"/>
      <c r="X47" s="699"/>
      <c r="Y47" s="721"/>
      <c r="Z47" s="699"/>
      <c r="AA47" s="699"/>
      <c r="AB47" s="699"/>
      <c r="AC47" s="699"/>
    </row>
    <row r="48" spans="1:29" ht="15.75" thickBot="1">
      <c r="A48" s="445" t="s">
        <v>2339</v>
      </c>
      <c r="B48" s="446"/>
      <c r="C48" s="1294" t="e">
        <f>R49</f>
        <v>#DIV/0!</v>
      </c>
      <c r="D48" s="2508" t="s">
        <v>2821</v>
      </c>
      <c r="E48" s="1295" t="e">
        <f>R48</f>
        <v>#DIV/0!</v>
      </c>
      <c r="F48" s="2509"/>
      <c r="G48" s="1294" t="e">
        <f>T48</f>
        <v>#DIV/0!</v>
      </c>
      <c r="H48" s="2509"/>
      <c r="I48" s="1295" t="e">
        <f>V48</f>
        <v>#DIV/0!</v>
      </c>
      <c r="J48" s="2509"/>
      <c r="K48" s="2510">
        <f>F48+H48+J48</f>
        <v>0</v>
      </c>
      <c r="L48" s="2923"/>
      <c r="M48" s="2924"/>
      <c r="N48" s="2924"/>
      <c r="O48" s="2924"/>
      <c r="P48" s="3585" t="str">
        <f>A48</f>
        <v>比较价值（元/平方米）</v>
      </c>
      <c r="Q48" s="3585"/>
      <c r="R48" s="3638" t="e">
        <f>IF(F1="售价",ROUND(PRODUCT(R47,AA7:AA46),0),ROUND(PRODUCT(R47,AA7:AA46),1))</f>
        <v>#DIV/0!</v>
      </c>
      <c r="S48" s="3638"/>
      <c r="T48" s="3638" t="e">
        <f>IF(F1="售价",ROUND(PRODUCT(T47,AB7:AB46),0),ROUND(PRODUCT(T47,AB7:AB46),1))</f>
        <v>#DIV/0!</v>
      </c>
      <c r="U48" s="3638"/>
      <c r="V48" s="3638" t="e">
        <f>IF(F1="售价",ROUND(PRODUCT(V47,AC7:AC46),0),ROUND(PRODUCT(V47,AC7:AC46),1))</f>
        <v>#DIV/0!</v>
      </c>
      <c r="W48" s="3638"/>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1"/>
      <c r="L49" s="2923"/>
      <c r="M49" s="2924"/>
      <c r="N49" s="2924"/>
      <c r="O49" s="2924"/>
      <c r="P49" s="3605" t="str">
        <f>A49</f>
        <v>估价对象XX用房的比较价值（楼面单价，元/平方米）</v>
      </c>
      <c r="Q49" s="3606"/>
      <c r="R49" s="3637" t="e">
        <f>IF(F1="售价",ROUND(IF(D48="简单平均",AVERAGE(R48:V48),R48*F48+T48*H48+V48*J48),0),ROUND(IF(D48="简单平均",AVERAGE(R48:V48),R48*F48+T48*H48+V48*J48),1))</f>
        <v>#DIV/0!</v>
      </c>
      <c r="S49" s="3637"/>
      <c r="T49" s="3637"/>
      <c r="U49" s="3637"/>
      <c r="V49" s="3637"/>
      <c r="W49" s="3637"/>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row>
    <row r="51" spans="1:29">
      <c r="A51" s="2924"/>
      <c r="B51" s="2924"/>
      <c r="C51" s="2924"/>
      <c r="D51" s="2924"/>
      <c r="E51" s="2924"/>
      <c r="F51" s="2924"/>
      <c r="G51" s="2924"/>
      <c r="H51" s="2924"/>
      <c r="I51" s="2924"/>
      <c r="J51" s="2924"/>
      <c r="K51" s="2929"/>
      <c r="L51" s="2925"/>
      <c r="M51" s="2924"/>
      <c r="N51" s="2924"/>
      <c r="O51" s="2924"/>
    </row>
    <row r="52" spans="1:29" ht="13.5" customHeight="1">
      <c r="A52" s="2924"/>
      <c r="B52" s="2924"/>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row>
    <row r="53" spans="1:29" ht="13.5" customHeight="1">
      <c r="A53" s="2924"/>
      <c r="B53" s="2924"/>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row>
    <row r="54" spans="1:29" s="459" customFormat="1" ht="13.5" customHeight="1">
      <c r="A54" s="2927"/>
      <c r="B54" s="2927"/>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073"/>
    </row>
    <row r="55" spans="1:29" s="459" customFormat="1">
      <c r="A55" s="2927"/>
      <c r="B55" s="2930"/>
      <c r="C55" s="2931"/>
      <c r="D55" s="2927"/>
      <c r="E55" s="2927"/>
      <c r="F55" s="2927"/>
      <c r="G55" s="2927"/>
      <c r="H55" s="2927"/>
      <c r="I55" s="2927"/>
      <c r="J55" s="2927"/>
      <c r="K55" s="2932"/>
      <c r="L55" s="2926"/>
      <c r="M55" s="2927"/>
      <c r="N55" s="2927"/>
      <c r="O55" s="2927"/>
      <c r="P55" s="2073"/>
    </row>
    <row r="56" spans="1:29">
      <c r="A56" s="2924"/>
      <c r="B56" s="2930"/>
      <c r="C56" s="2931"/>
      <c r="D56" s="2924"/>
      <c r="E56" s="2924"/>
      <c r="F56" s="2924"/>
      <c r="G56" s="2924"/>
      <c r="H56" s="2924"/>
      <c r="I56" s="2924"/>
      <c r="J56" s="2924"/>
      <c r="K56" s="2929"/>
      <c r="L56" s="2925"/>
      <c r="M56" s="2924"/>
      <c r="N56" s="2924"/>
      <c r="O56" s="2924"/>
    </row>
    <row r="57" spans="1:29" ht="21.75" thickBot="1">
      <c r="A57" s="703" t="s">
        <v>2344</v>
      </c>
      <c r="B57" s="699"/>
      <c r="C57" s="704"/>
      <c r="D57" s="704"/>
      <c r="E57" s="704"/>
      <c r="F57" s="705"/>
      <c r="G57" s="705"/>
      <c r="H57" s="704"/>
      <c r="I57" s="704"/>
      <c r="J57" s="704"/>
      <c r="K57" s="1072"/>
      <c r="L57" s="1073"/>
      <c r="M57" s="1071"/>
      <c r="N57" s="1071"/>
      <c r="O57" s="1071"/>
      <c r="P57" s="2074"/>
      <c r="Q57" s="461"/>
    </row>
    <row r="58" spans="1:29" s="465" customFormat="1" ht="15">
      <c r="A58" s="462" t="s">
        <v>2345</v>
      </c>
      <c r="B58" s="463"/>
      <c r="C58" s="1320" t="str">
        <f>YEAR(C7)&amp;"-"&amp;MONTH(C7)</f>
        <v>2021-12</v>
      </c>
      <c r="D58" s="1319">
        <f>EDATE(C58,-1)</f>
        <v>44501</v>
      </c>
      <c r="E58" s="1319">
        <f>EDATE(D58,-1)</f>
        <v>44470</v>
      </c>
      <c r="F58" s="1319">
        <f t="shared" ref="F58:O58" si="19">EDATE(E58,-1)</f>
        <v>44440</v>
      </c>
      <c r="G58" s="1319">
        <f t="shared" si="19"/>
        <v>44409</v>
      </c>
      <c r="H58" s="1319">
        <f t="shared" si="19"/>
        <v>44378</v>
      </c>
      <c r="I58" s="1319">
        <f t="shared" si="19"/>
        <v>44348</v>
      </c>
      <c r="J58" s="1319">
        <f t="shared" si="19"/>
        <v>44317</v>
      </c>
      <c r="K58" s="1319">
        <f t="shared" si="19"/>
        <v>44287</v>
      </c>
      <c r="L58" s="1319">
        <f t="shared" si="19"/>
        <v>44256</v>
      </c>
      <c r="M58" s="1319">
        <f t="shared" si="19"/>
        <v>44228</v>
      </c>
      <c r="N58" s="1319">
        <f t="shared" si="19"/>
        <v>44197</v>
      </c>
      <c r="O58" s="1319">
        <f t="shared" si="19"/>
        <v>44166</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2346</v>
      </c>
      <c r="B60" s="473"/>
      <c r="C60" s="474"/>
      <c r="D60" s="475"/>
      <c r="E60" s="475"/>
      <c r="F60" s="475"/>
      <c r="G60" s="475"/>
      <c r="H60" s="475"/>
      <c r="I60" s="475"/>
      <c r="J60" s="475"/>
      <c r="K60" s="475"/>
      <c r="L60" s="475"/>
      <c r="M60" s="476"/>
      <c r="N60" s="475"/>
      <c r="O60" s="476"/>
      <c r="P60" s="2076"/>
      <c r="Q60" s="461"/>
    </row>
    <row r="61" spans="1:29" s="113" customFormat="1" ht="15">
      <c r="A61" s="478" t="s">
        <v>2347</v>
      </c>
      <c r="B61" s="467"/>
      <c r="C61" s="479" t="s">
        <v>2348</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2349</v>
      </c>
      <c r="B63" s="485" t="s">
        <v>2315</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2371</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2372</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2324</v>
      </c>
      <c r="B100" s="485" t="s">
        <v>2373</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2375</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2376</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2377</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2378</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2379</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2380</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2381</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2383</v>
      </c>
    </row>
    <row r="137" spans="1:17" ht="15">
      <c r="B137" s="2086" t="s">
        <v>2384</v>
      </c>
      <c r="C137" s="2087"/>
      <c r="D137" s="2087"/>
      <c r="E137" s="2087"/>
      <c r="F137" s="2087"/>
      <c r="G137" s="2088"/>
      <c r="H137" s="2089"/>
      <c r="I137" s="2090" t="s">
        <v>2385</v>
      </c>
      <c r="J137" s="2087"/>
      <c r="K137" s="2091"/>
    </row>
    <row r="138" spans="1:17" ht="15">
      <c r="B138" s="2092"/>
      <c r="C138" s="142" t="s">
        <v>2386</v>
      </c>
      <c r="D138" s="142" t="s">
        <v>2387</v>
      </c>
      <c r="E138" s="2093" t="s">
        <v>2388</v>
      </c>
      <c r="F138" s="2094" t="s">
        <v>2389</v>
      </c>
      <c r="G138" s="142" t="s">
        <v>2387</v>
      </c>
      <c r="H138" s="143" t="s">
        <v>2388</v>
      </c>
      <c r="I138" s="2095"/>
      <c r="J138" s="142" t="s">
        <v>2390</v>
      </c>
      <c r="K138" s="143" t="s">
        <v>2391</v>
      </c>
    </row>
    <row r="139" spans="1:17" ht="15">
      <c r="B139" s="998">
        <v>6</v>
      </c>
      <c r="C139" s="999">
        <v>96</v>
      </c>
      <c r="D139" s="2096" t="s">
        <v>2392</v>
      </c>
      <c r="E139" s="1000">
        <v>100</v>
      </c>
      <c r="F139" s="1001">
        <v>102.5</v>
      </c>
      <c r="G139" s="2096" t="s">
        <v>2392</v>
      </c>
      <c r="H139" s="1002">
        <v>105</v>
      </c>
      <c r="I139" s="2097" t="s">
        <v>2393</v>
      </c>
      <c r="J139" s="999">
        <v>20</v>
      </c>
      <c r="K139" s="1003">
        <f>C145/(J139-2)</f>
        <v>4.0555555555555553E-3</v>
      </c>
    </row>
    <row r="140" spans="1:17" ht="15">
      <c r="B140" s="1004">
        <v>5</v>
      </c>
      <c r="C140" s="1005">
        <v>100</v>
      </c>
      <c r="D140" s="1005"/>
      <c r="E140" s="1006"/>
      <c r="F140" s="1007">
        <v>102</v>
      </c>
      <c r="G140" s="1005"/>
      <c r="H140" s="1008"/>
      <c r="I140" s="2098" t="s">
        <v>2394</v>
      </c>
      <c r="J140" s="277">
        <f>ROUNDUP((J139-1)/2,0)</f>
        <v>10</v>
      </c>
      <c r="K140" s="1009">
        <v>100</v>
      </c>
    </row>
    <row r="141" spans="1:17" ht="15">
      <c r="B141" s="1004">
        <v>4</v>
      </c>
      <c r="C141" s="1005">
        <v>102</v>
      </c>
      <c r="D141" s="1005"/>
      <c r="E141" s="1006"/>
      <c r="F141" s="1007">
        <v>101.5</v>
      </c>
      <c r="G141" s="1005"/>
      <c r="H141" s="1008"/>
      <c r="I141" s="2098" t="s">
        <v>2395</v>
      </c>
      <c r="J141" s="277">
        <v>1</v>
      </c>
      <c r="K141" s="1010">
        <f>ROUND(100+(J141-J140)*K139*100,1)</f>
        <v>96.4</v>
      </c>
    </row>
    <row r="142" spans="1:17" ht="15">
      <c r="B142" s="1004">
        <v>3</v>
      </c>
      <c r="C142" s="1005">
        <v>103</v>
      </c>
      <c r="D142" s="1005"/>
      <c r="E142" s="1006"/>
      <c r="F142" s="1007">
        <v>101</v>
      </c>
      <c r="G142" s="1005"/>
      <c r="H142" s="1008"/>
      <c r="I142" s="2098" t="s">
        <v>2396</v>
      </c>
      <c r="J142" s="277">
        <f>J139</f>
        <v>20</v>
      </c>
      <c r="K142" s="1011">
        <v>95</v>
      </c>
    </row>
    <row r="143" spans="1:17" ht="15">
      <c r="B143" s="1004">
        <v>2</v>
      </c>
      <c r="C143" s="1005">
        <v>100</v>
      </c>
      <c r="D143" s="1005"/>
      <c r="E143" s="1006"/>
      <c r="F143" s="1007">
        <v>100.5</v>
      </c>
      <c r="G143" s="1005"/>
      <c r="H143" s="1008"/>
      <c r="I143" s="2098" t="s">
        <v>2397</v>
      </c>
      <c r="J143" s="1005">
        <v>15</v>
      </c>
      <c r="K143" s="1010">
        <f>ROUND(100+(J143-J140)*K139*100,1)</f>
        <v>102</v>
      </c>
    </row>
    <row r="144" spans="1:17" ht="15">
      <c r="B144" s="1004">
        <v>1</v>
      </c>
      <c r="C144" s="1005">
        <v>98</v>
      </c>
      <c r="D144" s="2099" t="s">
        <v>2398</v>
      </c>
      <c r="E144" s="1006">
        <v>102</v>
      </c>
      <c r="F144" s="1012">
        <v>100</v>
      </c>
      <c r="G144" s="2099" t="s">
        <v>2398</v>
      </c>
      <c r="H144" s="1008">
        <v>105</v>
      </c>
      <c r="I144" s="2098" t="s">
        <v>2397</v>
      </c>
      <c r="J144" s="1005">
        <v>18</v>
      </c>
      <c r="K144" s="1010">
        <f>ROUND(100+(J144-J140)*K139*100,1)</f>
        <v>103.2</v>
      </c>
    </row>
    <row r="145" spans="2:11" ht="15.75" thickBot="1">
      <c r="B145" s="2100" t="s">
        <v>2399</v>
      </c>
      <c r="C145" s="1013">
        <f>ROUND(MAX(C139:C144)/MIN(C139:C144)-1,3)</f>
        <v>7.2999999999999995E-2</v>
      </c>
      <c r="D145" s="1014"/>
      <c r="E145" s="1014"/>
      <c r="F145" s="2101" t="s">
        <v>2400</v>
      </c>
      <c r="G145" s="2102"/>
      <c r="H145" s="2103"/>
      <c r="I145" s="2104" t="s">
        <v>2397</v>
      </c>
      <c r="J145" s="1015">
        <v>8</v>
      </c>
      <c r="K145" s="1016">
        <f>ROUND(100+(J145-J140)*K139*100,1)</f>
        <v>99.2</v>
      </c>
    </row>
    <row r="147" spans="2:11">
      <c r="B147" s="2085" t="s">
        <v>2401</v>
      </c>
    </row>
    <row r="148" spans="2:11">
      <c r="B148" s="2085"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v>
      </c>
    </row>
    <row r="4" spans="1:1" ht="18">
      <c r="A4" s="1635" t="str">
        <f>"受贵公司委托，我公司对"&amp;项目基本情况!S1&amp;"进行了预评估。"</f>
        <v>受贵公司委托，我公司对房地产抵押价值进行了预评估。</v>
      </c>
    </row>
    <row r="5" spans="1:1" ht="18.75">
      <c r="A5" s="1636" t="s">
        <v>1517</v>
      </c>
    </row>
    <row r="6" spans="1:1" ht="18.75">
      <c r="A6" s="1637" t="s">
        <v>1518</v>
      </c>
    </row>
    <row r="7" spans="1:1" ht="36">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估价对象为房地产，为所有。根据《国有土地使用证》[]，估价对象（分摊）出让国有建设用地使用权面积为20467.92平方米，建筑面积为69898.9平方米。</v>
      </c>
    </row>
    <row r="8" spans="1:1" ht="57.75">
      <c r="A8" s="1638" t="s">
        <v>1519</v>
      </c>
    </row>
    <row r="9" spans="1:1" ht="18.75">
      <c r="A9" s="1637" t="s">
        <v>1520</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估价对象为房地产,属开发建设的，该项目尚在开发建设中。根据《国有土地使用证》[]，估价对象（分摊）出让国有建设用地使用权面积为20467.92平方米，规划建筑面积为69898.9平方米。</v>
      </c>
    </row>
    <row r="11" spans="1:1" ht="76.5">
      <c r="A11" s="1638" t="s">
        <v>1521</v>
      </c>
    </row>
    <row r="12" spans="1:1" ht="18.75">
      <c r="A12" s="1636" t="s">
        <v>1522</v>
      </c>
    </row>
    <row r="13" spans="1:1" ht="38.25" customHeight="1">
      <c r="A13" s="163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2021年12月13日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13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2403</v>
      </c>
      <c r="C1" s="1378" t="s">
        <v>2291</v>
      </c>
      <c r="D1" s="1365"/>
      <c r="E1" s="2513"/>
      <c r="F1" s="2035"/>
      <c r="G1" s="1375" t="s">
        <v>2404</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2088</v>
      </c>
      <c r="B2" s="1298" t="e">
        <f ca="1">IF(C2="——",ROUND(C49*D3/10000,0),ROUND(C49*D3/10000,0)-D2)</f>
        <v>#DIV/0!</v>
      </c>
      <c r="C2" s="2037"/>
      <c r="D2" s="1247" t="e">
        <f ca="1">SUMIF(INDIRECT("'"&amp;F2&amp;"'"&amp;"!A:A"),"承租人权益价值",INDIRECT("'"&amp;F2&amp;"'"&amp;"!c:c"))</f>
        <v>#REF!</v>
      </c>
      <c r="E2" s="2038" t="s">
        <v>2089</v>
      </c>
      <c r="F2" s="2039"/>
      <c r="G2" s="1039"/>
      <c r="H2" s="1039"/>
      <c r="I2" s="1039"/>
      <c r="J2" s="1039"/>
      <c r="K2" s="1039"/>
      <c r="L2" s="2933"/>
      <c r="M2" s="2934"/>
      <c r="N2" s="2934"/>
      <c r="O2" s="2934"/>
      <c r="P2" s="2108"/>
      <c r="Q2" s="1043"/>
      <c r="R2" s="1043"/>
      <c r="S2" s="1043"/>
      <c r="T2" s="1043"/>
      <c r="U2" s="1043"/>
      <c r="V2" s="1043"/>
      <c r="W2" s="1043"/>
      <c r="X2" s="1043"/>
      <c r="Y2" s="1043"/>
      <c r="Z2" s="1043"/>
      <c r="AA2" s="1043"/>
      <c r="AB2" s="1043"/>
      <c r="AC2" s="2109"/>
    </row>
    <row r="3" spans="1:29" s="358" customFormat="1" ht="28.5" customHeight="1" thickBot="1">
      <c r="A3" s="209" t="s">
        <v>2090</v>
      </c>
      <c r="B3" s="566" t="e">
        <f ca="1">IF(C2="——",C49,ROUND(B2*10000/D3,0))</f>
        <v>#DIV/0!</v>
      </c>
      <c r="C3" s="360" t="s">
        <v>2405</v>
      </c>
      <c r="D3" s="359">
        <f>IF(D1="",'数据-汇总表'!E3,SUMIF('数据-汇总表'!$C19:$C33,D1,'数据-汇总表'!$E19:$E33))</f>
        <v>69898.900000000009</v>
      </c>
      <c r="E3" s="2110"/>
      <c r="F3" s="1040"/>
      <c r="G3" s="1039"/>
      <c r="H3" s="1039"/>
      <c r="I3" s="1039"/>
      <c r="J3" s="1039"/>
      <c r="K3" s="1041"/>
      <c r="L3" s="2933"/>
      <c r="M3" s="2934"/>
      <c r="N3" s="2934"/>
      <c r="O3" s="2934"/>
      <c r="P3" s="2108"/>
      <c r="Q3" s="1043"/>
      <c r="R3" s="1043"/>
      <c r="S3" s="1043"/>
      <c r="T3" s="1043"/>
      <c r="U3" s="1043"/>
      <c r="V3" s="1043"/>
      <c r="W3" s="1043"/>
      <c r="X3" s="1043"/>
      <c r="Y3" s="1043"/>
      <c r="Z3" s="1043"/>
      <c r="AA3" s="1043"/>
      <c r="AB3" s="1043"/>
      <c r="AC3" s="2110"/>
    </row>
    <row r="4" spans="1:29" ht="15">
      <c r="A4" s="361" t="s">
        <v>2406</v>
      </c>
      <c r="B4" s="362"/>
      <c r="C4" s="3586" t="s">
        <v>2407</v>
      </c>
      <c r="D4" s="3587"/>
      <c r="E4" s="3588" t="s">
        <v>2408</v>
      </c>
      <c r="F4" s="3589"/>
      <c r="G4" s="3586" t="s">
        <v>2409</v>
      </c>
      <c r="H4" s="3587"/>
      <c r="I4" s="3586" t="s">
        <v>2410</v>
      </c>
      <c r="J4" s="3587"/>
      <c r="K4" s="567" t="s">
        <v>2411</v>
      </c>
      <c r="L4" s="2914"/>
      <c r="M4" s="2915"/>
      <c r="N4" s="2915"/>
      <c r="O4" s="2915"/>
      <c r="P4" s="3590" t="s">
        <v>2412</v>
      </c>
      <c r="Q4" s="3591"/>
      <c r="R4" s="3573" t="s">
        <v>2408</v>
      </c>
      <c r="S4" s="3574"/>
      <c r="T4" s="3573" t="s">
        <v>2409</v>
      </c>
      <c r="U4" s="3574"/>
      <c r="V4" s="3598" t="s">
        <v>2410</v>
      </c>
      <c r="W4" s="3598"/>
      <c r="X4" s="1509"/>
      <c r="Y4" s="3573" t="s">
        <v>2412</v>
      </c>
      <c r="Z4" s="3574"/>
      <c r="AA4" s="3568" t="s">
        <v>2408</v>
      </c>
      <c r="AB4" s="3598" t="s">
        <v>2409</v>
      </c>
      <c r="AC4" s="3568" t="s">
        <v>2410</v>
      </c>
    </row>
    <row r="5" spans="1:29" ht="15">
      <c r="A5" s="364"/>
      <c r="B5" s="365"/>
      <c r="C5" s="3579" t="s">
        <v>2303</v>
      </c>
      <c r="D5" s="3580"/>
      <c r="E5" s="3577" t="s">
        <v>2304</v>
      </c>
      <c r="F5" s="3578"/>
      <c r="G5" s="3579" t="s">
        <v>2305</v>
      </c>
      <c r="H5" s="3580"/>
      <c r="I5" s="3579" t="s">
        <v>2306</v>
      </c>
      <c r="J5" s="3580"/>
      <c r="K5" s="567"/>
      <c r="L5" s="2914"/>
      <c r="M5" s="2915"/>
      <c r="N5" s="2915"/>
      <c r="O5" s="2915"/>
      <c r="P5" s="3592"/>
      <c r="Q5" s="3593"/>
      <c r="R5" s="3575"/>
      <c r="S5" s="3576"/>
      <c r="T5" s="3575"/>
      <c r="U5" s="3576"/>
      <c r="V5" s="3598"/>
      <c r="W5" s="3598"/>
      <c r="X5" s="1509"/>
      <c r="Y5" s="3575"/>
      <c r="Z5" s="3576"/>
      <c r="AA5" s="3569"/>
      <c r="AB5" s="3598"/>
      <c r="AC5" s="3569"/>
    </row>
    <row r="6" spans="1:29" ht="15.75" thickBot="1">
      <c r="A6" s="366"/>
      <c r="B6" s="367"/>
      <c r="C6" s="3581" t="s">
        <v>2307</v>
      </c>
      <c r="D6" s="3582"/>
      <c r="E6" s="3583" t="s">
        <v>2307</v>
      </c>
      <c r="F6" s="3584"/>
      <c r="G6" s="3581" t="s">
        <v>2307</v>
      </c>
      <c r="H6" s="3582"/>
      <c r="I6" s="3581" t="s">
        <v>2307</v>
      </c>
      <c r="J6" s="3582"/>
      <c r="K6" s="567" t="s">
        <v>2308</v>
      </c>
      <c r="L6" s="2914"/>
      <c r="M6" s="2915"/>
      <c r="N6" s="2915"/>
      <c r="O6" s="2915"/>
      <c r="P6" s="3594"/>
      <c r="Q6" s="3595"/>
      <c r="R6" s="3575"/>
      <c r="S6" s="3576"/>
      <c r="T6" s="3596"/>
      <c r="U6" s="3597"/>
      <c r="V6" s="3598"/>
      <c r="W6" s="3598"/>
      <c r="X6" s="1509"/>
      <c r="Y6" s="3596"/>
      <c r="Z6" s="3597"/>
      <c r="AA6" s="3570"/>
      <c r="AB6" s="3598"/>
      <c r="AC6" s="3570"/>
    </row>
    <row r="7" spans="1:29" s="113" customFormat="1" ht="15.75" thickBot="1">
      <c r="A7" s="368" t="s">
        <v>2309</v>
      </c>
      <c r="B7" s="369"/>
      <c r="C7" s="370">
        <f>'数据-取费表'!B2</f>
        <v>44543</v>
      </c>
      <c r="D7" s="371">
        <v>100</v>
      </c>
      <c r="E7" s="372"/>
      <c r="F7" s="373">
        <f>SUMIF(58:58,YEAR(E7)&amp;"-"&amp;MONTH(E7),59:59)</f>
        <v>0</v>
      </c>
      <c r="G7" s="372"/>
      <c r="H7" s="371">
        <f>SUMIF(58:58,YEAR(G7)&amp;"-"&amp;MONTH(G7),59:59)</f>
        <v>0</v>
      </c>
      <c r="I7" s="372"/>
      <c r="J7" s="371">
        <f>SUMIF(58:58,YEAR(I7)&amp;"-"&amp;MONTH(I7),59:59)</f>
        <v>0</v>
      </c>
      <c r="K7" s="568"/>
      <c r="L7" s="2916"/>
      <c r="M7" s="2917"/>
      <c r="N7" s="2917"/>
      <c r="O7" s="2917"/>
      <c r="P7" s="3571" t="s">
        <v>2310</v>
      </c>
      <c r="Q7" s="3599"/>
      <c r="R7" s="710" t="s">
        <v>17</v>
      </c>
      <c r="S7" s="711">
        <f t="shared" ref="S7:S15" si="0">F7</f>
        <v>0</v>
      </c>
      <c r="T7" s="710" t="s">
        <v>17</v>
      </c>
      <c r="U7" s="711">
        <f t="shared" ref="U7:U15" si="1">H7</f>
        <v>0</v>
      </c>
      <c r="V7" s="710" t="s">
        <v>17</v>
      </c>
      <c r="W7" s="711">
        <f t="shared" ref="W7:W15" si="2">J7</f>
        <v>0</v>
      </c>
      <c r="X7" s="712"/>
      <c r="Y7" s="3571" t="s">
        <v>2310</v>
      </c>
      <c r="Z7" s="3572"/>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6"/>
      <c r="M8" s="2917"/>
      <c r="N8" s="2917"/>
      <c r="O8" s="2917"/>
      <c r="P8" s="3571" t="s">
        <v>2313</v>
      </c>
      <c r="Q8" s="3572"/>
      <c r="R8" s="710" t="s">
        <v>17</v>
      </c>
      <c r="S8" s="711">
        <f t="shared" si="0"/>
        <v>0</v>
      </c>
      <c r="T8" s="710" t="s">
        <v>17</v>
      </c>
      <c r="U8" s="711">
        <f t="shared" si="1"/>
        <v>0</v>
      </c>
      <c r="V8" s="710" t="s">
        <v>17</v>
      </c>
      <c r="W8" s="711">
        <f t="shared" si="2"/>
        <v>0</v>
      </c>
      <c r="X8" s="712"/>
      <c r="Y8" s="3571" t="s">
        <v>2313</v>
      </c>
      <c r="Z8" s="3572"/>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6"/>
      <c r="M9" s="2917"/>
      <c r="N9" s="2917"/>
      <c r="O9" s="2917"/>
      <c r="P9" s="3609" t="s">
        <v>2316</v>
      </c>
      <c r="Q9" s="1497" t="str">
        <f t="shared" ref="Q9:Q15" si="6">B9</f>
        <v>用途</v>
      </c>
      <c r="R9" s="710" t="s">
        <v>17</v>
      </c>
      <c r="S9" s="711">
        <f t="shared" si="0"/>
        <v>100</v>
      </c>
      <c r="T9" s="710" t="s">
        <v>17</v>
      </c>
      <c r="U9" s="711">
        <f t="shared" si="1"/>
        <v>100</v>
      </c>
      <c r="V9" s="710" t="s">
        <v>17</v>
      </c>
      <c r="W9" s="711">
        <f t="shared" si="2"/>
        <v>100</v>
      </c>
      <c r="X9" s="712"/>
      <c r="Y9" s="3541"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8"/>
      <c r="M10" s="2919"/>
      <c r="N10" s="2919"/>
      <c r="O10" s="2919"/>
      <c r="P10" s="3609"/>
      <c r="Q10" s="1497" t="str">
        <f t="shared" si="6"/>
        <v>土地使用年限（年）</v>
      </c>
      <c r="R10" s="710" t="s">
        <v>17</v>
      </c>
      <c r="S10" s="711">
        <f t="shared" si="0"/>
        <v>100</v>
      </c>
      <c r="T10" s="710" t="s">
        <v>17</v>
      </c>
      <c r="U10" s="711">
        <f t="shared" si="1"/>
        <v>100</v>
      </c>
      <c r="V10" s="710" t="s">
        <v>17</v>
      </c>
      <c r="W10" s="711">
        <f t="shared" si="2"/>
        <v>100</v>
      </c>
      <c r="X10" s="712"/>
      <c r="Y10" s="3541"/>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20"/>
      <c r="M11" s="2915"/>
      <c r="N11" s="2915"/>
      <c r="O11" s="2915"/>
      <c r="P11" s="3609"/>
      <c r="Q11" s="1497" t="str">
        <f t="shared" si="6"/>
        <v>容积率</v>
      </c>
      <c r="R11" s="710" t="s">
        <v>17</v>
      </c>
      <c r="S11" s="711" t="e">
        <f t="shared" si="0"/>
        <v>#N/A</v>
      </c>
      <c r="T11" s="710" t="s">
        <v>17</v>
      </c>
      <c r="U11" s="711" t="e">
        <f t="shared" si="1"/>
        <v>#N/A</v>
      </c>
      <c r="V11" s="710" t="s">
        <v>17</v>
      </c>
      <c r="W11" s="711" t="e">
        <f t="shared" si="2"/>
        <v>#N/A</v>
      </c>
      <c r="X11" s="712"/>
      <c r="Y11" s="3541"/>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6"/>
      <c r="M12" s="2917"/>
      <c r="N12" s="2917"/>
      <c r="O12" s="2917"/>
      <c r="P12" s="3609"/>
      <c r="Q12" s="1497">
        <f t="shared" si="6"/>
        <v>111</v>
      </c>
      <c r="R12" s="710" t="s">
        <v>17</v>
      </c>
      <c r="S12" s="711">
        <f t="shared" si="0"/>
        <v>100</v>
      </c>
      <c r="T12" s="710" t="s">
        <v>17</v>
      </c>
      <c r="U12" s="711">
        <f t="shared" si="1"/>
        <v>100</v>
      </c>
      <c r="V12" s="710" t="s">
        <v>17</v>
      </c>
      <c r="W12" s="711">
        <f t="shared" si="2"/>
        <v>100</v>
      </c>
      <c r="X12" s="712"/>
      <c r="Y12" s="3541"/>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21"/>
      <c r="M13" s="2915"/>
      <c r="N13" s="2915"/>
      <c r="O13" s="2915"/>
      <c r="P13" s="3609"/>
      <c r="Q13" s="1497">
        <f t="shared" si="6"/>
        <v>111</v>
      </c>
      <c r="R13" s="710" t="s">
        <v>17</v>
      </c>
      <c r="S13" s="711">
        <f t="shared" si="0"/>
        <v>100</v>
      </c>
      <c r="T13" s="710" t="s">
        <v>17</v>
      </c>
      <c r="U13" s="711">
        <f t="shared" si="1"/>
        <v>100</v>
      </c>
      <c r="V13" s="710" t="s">
        <v>17</v>
      </c>
      <c r="W13" s="711">
        <f t="shared" si="2"/>
        <v>100</v>
      </c>
      <c r="X13" s="712"/>
      <c r="Y13" s="3541"/>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21"/>
      <c r="M14" s="2915"/>
      <c r="N14" s="2915"/>
      <c r="O14" s="2915"/>
      <c r="P14" s="3609"/>
      <c r="Q14" s="1497">
        <f t="shared" si="6"/>
        <v>111</v>
      </c>
      <c r="R14" s="710" t="s">
        <v>17</v>
      </c>
      <c r="S14" s="711">
        <f t="shared" si="0"/>
        <v>100</v>
      </c>
      <c r="T14" s="710" t="s">
        <v>17</v>
      </c>
      <c r="U14" s="711">
        <f t="shared" si="1"/>
        <v>100</v>
      </c>
      <c r="V14" s="710" t="s">
        <v>17</v>
      </c>
      <c r="W14" s="711">
        <f t="shared" si="2"/>
        <v>100</v>
      </c>
      <c r="X14" s="712"/>
      <c r="Y14" s="3541"/>
      <c r="Z14" s="55">
        <f t="shared" si="7"/>
        <v>111</v>
      </c>
      <c r="AA14" s="713">
        <f t="shared" si="3"/>
        <v>1</v>
      </c>
      <c r="AB14" s="713">
        <f t="shared" si="4"/>
        <v>1</v>
      </c>
      <c r="AC14" s="713">
        <f t="shared" si="5"/>
        <v>1</v>
      </c>
    </row>
    <row r="15" spans="1:29" ht="71.25">
      <c r="A15" s="399" t="s">
        <v>2320</v>
      </c>
      <c r="B15" s="65" t="s">
        <v>2414</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1"/>
      <c r="M15" s="2915"/>
      <c r="N15" s="2915"/>
      <c r="O15" s="2915"/>
      <c r="P15" s="3643" t="s">
        <v>2321</v>
      </c>
      <c r="Q15" s="1506" t="str">
        <f t="shared" si="6"/>
        <v>商业繁华度</v>
      </c>
      <c r="R15" s="714" t="s">
        <v>17</v>
      </c>
      <c r="S15" s="715">
        <f t="shared" si="0"/>
        <v>100</v>
      </c>
      <c r="T15" s="714" t="s">
        <v>17</v>
      </c>
      <c r="U15" s="715">
        <f t="shared" si="1"/>
        <v>100</v>
      </c>
      <c r="V15" s="714" t="s">
        <v>17</v>
      </c>
      <c r="W15" s="715">
        <f t="shared" si="2"/>
        <v>100</v>
      </c>
      <c r="X15" s="1509"/>
      <c r="Y15" s="3600"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1"/>
      <c r="M16" s="2915"/>
      <c r="N16" s="2915"/>
      <c r="O16" s="2915"/>
      <c r="P16" s="3644"/>
      <c r="Q16" s="1506"/>
      <c r="R16" s="714"/>
      <c r="S16" s="715"/>
      <c r="T16" s="714"/>
      <c r="U16" s="715"/>
      <c r="V16" s="714"/>
      <c r="W16" s="715"/>
      <c r="X16" s="1509"/>
      <c r="Y16" s="3601"/>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1"/>
      <c r="M17" s="2915"/>
      <c r="N17" s="2915"/>
      <c r="O17" s="2915"/>
      <c r="P17" s="3644"/>
      <c r="Q17" s="1506" t="str">
        <f>B17</f>
        <v>交通便捷度</v>
      </c>
      <c r="R17" s="714" t="s">
        <v>17</v>
      </c>
      <c r="S17" s="715">
        <f>F17</f>
        <v>100</v>
      </c>
      <c r="T17" s="714" t="s">
        <v>17</v>
      </c>
      <c r="U17" s="715">
        <f>H17</f>
        <v>100</v>
      </c>
      <c r="V17" s="714" t="s">
        <v>17</v>
      </c>
      <c r="W17" s="715">
        <f>J17</f>
        <v>100</v>
      </c>
      <c r="X17" s="1509"/>
      <c r="Y17" s="3601"/>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21"/>
      <c r="M18" s="2915"/>
      <c r="N18" s="2915"/>
      <c r="O18" s="2915"/>
      <c r="P18" s="3644"/>
      <c r="Q18" s="1506"/>
      <c r="R18" s="714"/>
      <c r="S18" s="715"/>
      <c r="T18" s="714"/>
      <c r="U18" s="715"/>
      <c r="V18" s="714"/>
      <c r="W18" s="715"/>
      <c r="X18" s="1509"/>
      <c r="Y18" s="3601"/>
      <c r="Z18" s="1510"/>
      <c r="AA18" s="1507">
        <v>1</v>
      </c>
      <c r="AB18" s="1507">
        <v>1</v>
      </c>
      <c r="AC18" s="1507">
        <v>1</v>
      </c>
    </row>
    <row r="19" spans="1:29" ht="42.75">
      <c r="A19" s="387"/>
      <c r="B19" s="410" t="s">
        <v>2415</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1"/>
      <c r="M19" s="2915"/>
      <c r="N19" s="2915"/>
      <c r="O19" s="2915"/>
      <c r="P19" s="3644"/>
      <c r="Q19" s="1506" t="str">
        <f>B19</f>
        <v>公共配套设施</v>
      </c>
      <c r="R19" s="714" t="s">
        <v>17</v>
      </c>
      <c r="S19" s="715">
        <f>F19</f>
        <v>100</v>
      </c>
      <c r="T19" s="714" t="s">
        <v>17</v>
      </c>
      <c r="U19" s="715">
        <f>H19</f>
        <v>100</v>
      </c>
      <c r="V19" s="714" t="s">
        <v>17</v>
      </c>
      <c r="W19" s="715">
        <f>J19</f>
        <v>100</v>
      </c>
      <c r="X19" s="1509"/>
      <c r="Y19" s="3601"/>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21"/>
      <c r="M20" s="2915"/>
      <c r="N20" s="2915"/>
      <c r="O20" s="2915"/>
      <c r="P20" s="3644"/>
      <c r="Q20" s="1506"/>
      <c r="R20" s="714"/>
      <c r="S20" s="715"/>
      <c r="T20" s="714"/>
      <c r="U20" s="715"/>
      <c r="V20" s="714"/>
      <c r="W20" s="715"/>
      <c r="X20" s="1509"/>
      <c r="Y20" s="3601"/>
      <c r="Z20" s="1510"/>
      <c r="AA20" s="1507">
        <v>1</v>
      </c>
      <c r="AB20" s="1507">
        <v>1</v>
      </c>
      <c r="AC20" s="1507">
        <v>1</v>
      </c>
    </row>
    <row r="21" spans="1:29" ht="28.5">
      <c r="A21" s="387"/>
      <c r="B21" s="1265" t="s">
        <v>2416</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1"/>
      <c r="M21" s="2915"/>
      <c r="N21" s="2915"/>
      <c r="O21" s="2915"/>
      <c r="P21" s="3644"/>
      <c r="Q21" s="1506" t="str">
        <f>B21</f>
        <v>基础设施水平</v>
      </c>
      <c r="R21" s="714" t="s">
        <v>17</v>
      </c>
      <c r="S21" s="715">
        <f>F21</f>
        <v>100</v>
      </c>
      <c r="T21" s="714" t="s">
        <v>17</v>
      </c>
      <c r="U21" s="715">
        <f>H21</f>
        <v>100</v>
      </c>
      <c r="V21" s="714" t="s">
        <v>17</v>
      </c>
      <c r="W21" s="715">
        <f>J21</f>
        <v>100</v>
      </c>
      <c r="X21" s="1509"/>
      <c r="Y21" s="3601"/>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21"/>
      <c r="M22" s="2915"/>
      <c r="N22" s="2915"/>
      <c r="O22" s="2915"/>
      <c r="P22" s="3644"/>
      <c r="Q22" s="1506"/>
      <c r="R22" s="714"/>
      <c r="S22" s="715"/>
      <c r="T22" s="714"/>
      <c r="U22" s="715"/>
      <c r="V22" s="714"/>
      <c r="W22" s="715"/>
      <c r="X22" s="1509"/>
      <c r="Y22" s="3601"/>
      <c r="Z22" s="1510"/>
      <c r="AA22" s="1507">
        <v>1</v>
      </c>
      <c r="AB22" s="1507">
        <v>1</v>
      </c>
      <c r="AC22" s="1507">
        <v>1</v>
      </c>
    </row>
    <row r="23" spans="1:29" ht="57">
      <c r="A23" s="387"/>
      <c r="B23" s="410" t="s">
        <v>1887</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1"/>
      <c r="M23" s="2915"/>
      <c r="N23" s="2915"/>
      <c r="O23" s="2915"/>
      <c r="P23" s="3644"/>
      <c r="Q23" s="1506" t="str">
        <f>B23</f>
        <v>自然及人文环境</v>
      </c>
      <c r="R23" s="714" t="s">
        <v>17</v>
      </c>
      <c r="S23" s="715">
        <f>F23</f>
        <v>100</v>
      </c>
      <c r="T23" s="714" t="s">
        <v>17</v>
      </c>
      <c r="U23" s="715">
        <f>H23</f>
        <v>100</v>
      </c>
      <c r="V23" s="714" t="s">
        <v>17</v>
      </c>
      <c r="W23" s="715">
        <f>J23</f>
        <v>100</v>
      </c>
      <c r="X23" s="1509"/>
      <c r="Y23" s="3601"/>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21"/>
      <c r="M24" s="2915"/>
      <c r="N24" s="2915"/>
      <c r="O24" s="2915"/>
      <c r="P24" s="3644"/>
      <c r="Q24" s="1506"/>
      <c r="R24" s="714"/>
      <c r="S24" s="715"/>
      <c r="T24" s="714"/>
      <c r="U24" s="715"/>
      <c r="V24" s="714"/>
      <c r="W24" s="715"/>
      <c r="X24" s="1509"/>
      <c r="Y24" s="3601"/>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21"/>
      <c r="M25" s="2915"/>
      <c r="N25" s="2915"/>
      <c r="O25" s="2915"/>
      <c r="P25" s="3644"/>
      <c r="Q25" s="1506" t="str">
        <f t="shared" ref="Q25:Q46" si="11">B25</f>
        <v>临街状况</v>
      </c>
      <c r="R25" s="714" t="s">
        <v>17</v>
      </c>
      <c r="S25" s="715">
        <f>F25</f>
        <v>100</v>
      </c>
      <c r="T25" s="714" t="s">
        <v>17</v>
      </c>
      <c r="U25" s="715">
        <f>H25</f>
        <v>100</v>
      </c>
      <c r="V25" s="714" t="s">
        <v>17</v>
      </c>
      <c r="W25" s="715">
        <f>J25</f>
        <v>100</v>
      </c>
      <c r="X25" s="1509"/>
      <c r="Y25" s="3601"/>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21"/>
      <c r="M26" s="2915"/>
      <c r="N26" s="2915"/>
      <c r="O26" s="2915"/>
      <c r="P26" s="3644"/>
      <c r="Q26" s="1506" t="str">
        <f t="shared" si="11"/>
        <v>平面位置/可视性</v>
      </c>
      <c r="R26" s="714" t="s">
        <v>17</v>
      </c>
      <c r="S26" s="715">
        <f>F26</f>
        <v>100</v>
      </c>
      <c r="T26" s="714" t="s">
        <v>17</v>
      </c>
      <c r="U26" s="715">
        <f>H26</f>
        <v>100</v>
      </c>
      <c r="V26" s="714" t="s">
        <v>17</v>
      </c>
      <c r="W26" s="715">
        <f>J26</f>
        <v>100</v>
      </c>
      <c r="X26" s="1509"/>
      <c r="Y26" s="3601"/>
      <c r="Z26" s="1510" t="str">
        <f>Q26</f>
        <v>平面位置/可视性</v>
      </c>
      <c r="AA26" s="1507">
        <f t="shared" si="3"/>
        <v>1</v>
      </c>
      <c r="AB26" s="1507">
        <f t="shared" si="4"/>
        <v>1</v>
      </c>
      <c r="AC26" s="1507">
        <f t="shared" si="5"/>
        <v>1</v>
      </c>
    </row>
    <row r="27" spans="1:29" s="113" customFormat="1" ht="15">
      <c r="A27" s="390"/>
      <c r="B27" s="410" t="s">
        <v>2419</v>
      </c>
      <c r="C27" s="2112"/>
      <c r="D27" s="421">
        <v>100</v>
      </c>
      <c r="E27" s="2112"/>
      <c r="F27" s="423">
        <f>SUMIF(90:90,E27,91:91)-SUMIF(90:90,C27,91:91)+100</f>
        <v>100</v>
      </c>
      <c r="G27" s="2112"/>
      <c r="H27" s="421">
        <f>SUMIF(90:90,G27,91:91)-SUMIF(90:90,C27,91:91)+100</f>
        <v>100</v>
      </c>
      <c r="I27" s="2112"/>
      <c r="J27" s="421">
        <f>SUMIF(90:90,I27,91:91)-SUMIF(90:90,C27,91:91)+100</f>
        <v>100</v>
      </c>
      <c r="K27" s="569"/>
      <c r="L27" s="2916"/>
      <c r="M27" s="2917"/>
      <c r="N27" s="2917"/>
      <c r="O27" s="2917"/>
      <c r="P27" s="3644"/>
      <c r="Q27" s="1497" t="str">
        <f t="shared" si="11"/>
        <v>人流量</v>
      </c>
      <c r="R27" s="710" t="s">
        <v>17</v>
      </c>
      <c r="S27" s="711">
        <f>F27</f>
        <v>100</v>
      </c>
      <c r="T27" s="710" t="s">
        <v>17</v>
      </c>
      <c r="U27" s="711">
        <f>H27</f>
        <v>100</v>
      </c>
      <c r="V27" s="710" t="s">
        <v>17</v>
      </c>
      <c r="W27" s="711">
        <f>J27</f>
        <v>100</v>
      </c>
      <c r="X27" s="712"/>
      <c r="Y27" s="3601"/>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21"/>
      <c r="M28" s="2915"/>
      <c r="N28" s="2915"/>
      <c r="O28" s="2915"/>
      <c r="P28" s="3644"/>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601"/>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1"/>
      <c r="M29" s="2915"/>
      <c r="N29" s="2915"/>
      <c r="O29" s="2915"/>
      <c r="P29" s="3644"/>
      <c r="Q29" s="1506">
        <f t="shared" si="11"/>
        <v>111</v>
      </c>
      <c r="R29" s="714" t="s">
        <v>17</v>
      </c>
      <c r="S29" s="715">
        <f t="shared" si="12"/>
        <v>100</v>
      </c>
      <c r="T29" s="714" t="s">
        <v>17</v>
      </c>
      <c r="U29" s="715">
        <f t="shared" si="13"/>
        <v>100</v>
      </c>
      <c r="V29" s="714" t="s">
        <v>17</v>
      </c>
      <c r="W29" s="715">
        <f t="shared" si="14"/>
        <v>100</v>
      </c>
      <c r="X29" s="1509"/>
      <c r="Y29" s="3601"/>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1"/>
      <c r="M30" s="2915"/>
      <c r="N30" s="2915"/>
      <c r="O30" s="2915"/>
      <c r="P30" s="3644"/>
      <c r="Q30" s="1506">
        <f t="shared" si="11"/>
        <v>111</v>
      </c>
      <c r="R30" s="714" t="s">
        <v>17</v>
      </c>
      <c r="S30" s="715">
        <f t="shared" si="12"/>
        <v>100</v>
      </c>
      <c r="T30" s="714" t="s">
        <v>17</v>
      </c>
      <c r="U30" s="715">
        <f t="shared" si="13"/>
        <v>100</v>
      </c>
      <c r="V30" s="714" t="s">
        <v>17</v>
      </c>
      <c r="W30" s="715">
        <f t="shared" si="14"/>
        <v>100</v>
      </c>
      <c r="X30" s="1509"/>
      <c r="Y30" s="3601"/>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1"/>
      <c r="M31" s="2915"/>
      <c r="N31" s="2915"/>
      <c r="O31" s="2915"/>
      <c r="P31" s="3644"/>
      <c r="Q31" s="1506">
        <f t="shared" si="11"/>
        <v>111</v>
      </c>
      <c r="R31" s="714" t="s">
        <v>17</v>
      </c>
      <c r="S31" s="715">
        <f t="shared" si="12"/>
        <v>100</v>
      </c>
      <c r="T31" s="714" t="s">
        <v>17</v>
      </c>
      <c r="U31" s="715">
        <f t="shared" si="13"/>
        <v>100</v>
      </c>
      <c r="V31" s="714" t="s">
        <v>17</v>
      </c>
      <c r="W31" s="715">
        <f t="shared" si="14"/>
        <v>100</v>
      </c>
      <c r="X31" s="1509"/>
      <c r="Y31" s="3601"/>
      <c r="Z31" s="1510">
        <f t="shared" si="15"/>
        <v>111</v>
      </c>
      <c r="AA31" s="1507">
        <f t="shared" si="3"/>
        <v>1</v>
      </c>
      <c r="AB31" s="1507">
        <f t="shared" si="4"/>
        <v>1</v>
      </c>
      <c r="AC31" s="1507">
        <f t="shared" si="5"/>
        <v>1</v>
      </c>
    </row>
    <row r="32" spans="1:29" ht="15">
      <c r="A32" s="399" t="s">
        <v>2324</v>
      </c>
      <c r="B32" s="67" t="s">
        <v>2421</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21"/>
      <c r="M32" s="2915"/>
      <c r="N32" s="2915"/>
      <c r="O32" s="2915"/>
      <c r="P32" s="3639" t="s">
        <v>2326</v>
      </c>
      <c r="Q32" s="1506" t="str">
        <f t="shared" si="11"/>
        <v>商业类型</v>
      </c>
      <c r="R32" s="714" t="s">
        <v>17</v>
      </c>
      <c r="S32" s="715">
        <f t="shared" si="12"/>
        <v>100</v>
      </c>
      <c r="T32" s="714" t="s">
        <v>17</v>
      </c>
      <c r="U32" s="715">
        <f t="shared" si="13"/>
        <v>100</v>
      </c>
      <c r="V32" s="714" t="s">
        <v>17</v>
      </c>
      <c r="W32" s="715">
        <f t="shared" si="14"/>
        <v>100</v>
      </c>
      <c r="X32" s="1509"/>
      <c r="Y32" s="3603"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20"/>
      <c r="M33" s="2922"/>
      <c r="N33" s="2922"/>
      <c r="O33" s="2922"/>
      <c r="P33" s="3640"/>
      <c r="Q33" s="716" t="str">
        <f t="shared" si="11"/>
        <v>项目建筑规模</v>
      </c>
      <c r="R33" s="717" t="s">
        <v>17</v>
      </c>
      <c r="S33" s="718" t="e">
        <f t="shared" si="12"/>
        <v>#N/A</v>
      </c>
      <c r="T33" s="717" t="s">
        <v>17</v>
      </c>
      <c r="U33" s="718" t="e">
        <f t="shared" si="13"/>
        <v>#N/A</v>
      </c>
      <c r="V33" s="717" t="s">
        <v>17</v>
      </c>
      <c r="W33" s="718" t="e">
        <f t="shared" si="14"/>
        <v>#N/A</v>
      </c>
      <c r="X33" s="719"/>
      <c r="Y33" s="3603"/>
      <c r="Z33" s="720" t="str">
        <f t="shared" si="15"/>
        <v>项目建筑规模</v>
      </c>
      <c r="AA33" s="1507" t="e">
        <f t="shared" si="3"/>
        <v>#N/A</v>
      </c>
      <c r="AB33" s="1507" t="e">
        <f t="shared" si="4"/>
        <v>#N/A</v>
      </c>
      <c r="AC33" s="1507" t="e">
        <f t="shared" si="5"/>
        <v>#N/A</v>
      </c>
    </row>
    <row r="34" spans="1:29" ht="15">
      <c r="A34" s="431"/>
      <c r="B34" s="381" t="s">
        <v>2328</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21"/>
      <c r="M34" s="2915"/>
      <c r="N34" s="2915"/>
      <c r="O34" s="2915"/>
      <c r="P34" s="3640"/>
      <c r="Q34" s="1506" t="str">
        <f t="shared" si="11"/>
        <v>建筑结构</v>
      </c>
      <c r="R34" s="714" t="s">
        <v>17</v>
      </c>
      <c r="S34" s="715">
        <f t="shared" si="12"/>
        <v>100</v>
      </c>
      <c r="T34" s="714" t="s">
        <v>17</v>
      </c>
      <c r="U34" s="715">
        <f t="shared" si="13"/>
        <v>100</v>
      </c>
      <c r="V34" s="714" t="s">
        <v>17</v>
      </c>
      <c r="W34" s="715">
        <f t="shared" si="14"/>
        <v>100</v>
      </c>
      <c r="X34" s="1509"/>
      <c r="Y34" s="3603"/>
      <c r="Z34" s="1510" t="str">
        <f t="shared" si="15"/>
        <v>建筑结构</v>
      </c>
      <c r="AA34" s="1507">
        <f t="shared" si="3"/>
        <v>1</v>
      </c>
      <c r="AB34" s="1507">
        <f t="shared" si="4"/>
        <v>1</v>
      </c>
      <c r="AC34" s="1507">
        <f t="shared" si="5"/>
        <v>1</v>
      </c>
    </row>
    <row r="35" spans="1:29" ht="15">
      <c r="A35" s="431"/>
      <c r="B35" s="381" t="s">
        <v>2422</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21"/>
      <c r="M35" s="2915"/>
      <c r="N35" s="2915"/>
      <c r="O35" s="2915"/>
      <c r="P35" s="3640"/>
      <c r="Q35" s="1506" t="str">
        <f t="shared" si="11"/>
        <v>公共部分装修</v>
      </c>
      <c r="R35" s="714" t="s">
        <v>17</v>
      </c>
      <c r="S35" s="715">
        <f t="shared" si="12"/>
        <v>100</v>
      </c>
      <c r="T35" s="714" t="s">
        <v>17</v>
      </c>
      <c r="U35" s="715">
        <f t="shared" si="13"/>
        <v>100</v>
      </c>
      <c r="V35" s="714" t="s">
        <v>17</v>
      </c>
      <c r="W35" s="715">
        <f t="shared" si="14"/>
        <v>100</v>
      </c>
      <c r="X35" s="1509"/>
      <c r="Y35" s="3603"/>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1"/>
      <c r="M36" s="2915"/>
      <c r="N36" s="2915"/>
      <c r="O36" s="2915"/>
      <c r="P36" s="3640"/>
      <c r="Q36" s="1506" t="str">
        <f t="shared" si="11"/>
        <v>成新度</v>
      </c>
      <c r="R36" s="714" t="s">
        <v>17</v>
      </c>
      <c r="S36" s="715" t="e">
        <f t="shared" si="12"/>
        <v>#N/A</v>
      </c>
      <c r="T36" s="714" t="s">
        <v>17</v>
      </c>
      <c r="U36" s="715" t="e">
        <f t="shared" si="13"/>
        <v>#N/A</v>
      </c>
      <c r="V36" s="714" t="s">
        <v>17</v>
      </c>
      <c r="W36" s="715" t="e">
        <f t="shared" si="14"/>
        <v>#N/A</v>
      </c>
      <c r="X36" s="1509"/>
      <c r="Y36" s="3603"/>
      <c r="Z36" s="1510" t="str">
        <f t="shared" si="15"/>
        <v>成新度</v>
      </c>
      <c r="AA36" s="1507" t="e">
        <f t="shared" si="3"/>
        <v>#N/A</v>
      </c>
      <c r="AB36" s="1507" t="e">
        <f t="shared" si="4"/>
        <v>#N/A</v>
      </c>
      <c r="AC36" s="1507" t="e">
        <f t="shared" si="5"/>
        <v>#N/A</v>
      </c>
    </row>
    <row r="37" spans="1:29" s="113" customFormat="1" ht="15">
      <c r="A37" s="432"/>
      <c r="B37" s="381" t="s">
        <v>2424</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6"/>
      <c r="M37" s="2917"/>
      <c r="N37" s="2917"/>
      <c r="O37" s="2917"/>
      <c r="P37" s="3640"/>
      <c r="Q37" s="1497" t="str">
        <f t="shared" si="11"/>
        <v>市政基础设施</v>
      </c>
      <c r="R37" s="710" t="s">
        <v>17</v>
      </c>
      <c r="S37" s="711">
        <f t="shared" si="12"/>
        <v>100</v>
      </c>
      <c r="T37" s="710" t="s">
        <v>17</v>
      </c>
      <c r="U37" s="711">
        <f t="shared" si="13"/>
        <v>100</v>
      </c>
      <c r="V37" s="710" t="s">
        <v>17</v>
      </c>
      <c r="W37" s="711">
        <f t="shared" si="14"/>
        <v>100</v>
      </c>
      <c r="X37" s="712"/>
      <c r="Y37" s="3603"/>
      <c r="Z37" s="55" t="str">
        <f t="shared" si="15"/>
        <v>市政基础设施</v>
      </c>
      <c r="AA37" s="713">
        <f t="shared" si="3"/>
        <v>1</v>
      </c>
      <c r="AB37" s="713">
        <f t="shared" si="4"/>
        <v>1</v>
      </c>
      <c r="AC37" s="713">
        <f t="shared" si="5"/>
        <v>1</v>
      </c>
    </row>
    <row r="38" spans="1:29" ht="15">
      <c r="A38" s="431"/>
      <c r="B38" s="381" t="s">
        <v>2425</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21"/>
      <c r="M38" s="2915"/>
      <c r="N38" s="2915"/>
      <c r="O38" s="2915"/>
      <c r="P38" s="3640" t="s">
        <v>2326</v>
      </c>
      <c r="Q38" s="1506" t="str">
        <f t="shared" si="11"/>
        <v>业态</v>
      </c>
      <c r="R38" s="714" t="s">
        <v>17</v>
      </c>
      <c r="S38" s="715">
        <f t="shared" si="12"/>
        <v>100</v>
      </c>
      <c r="T38" s="714" t="s">
        <v>17</v>
      </c>
      <c r="U38" s="715">
        <f t="shared" si="13"/>
        <v>100</v>
      </c>
      <c r="V38" s="714" t="s">
        <v>17</v>
      </c>
      <c r="W38" s="715">
        <f t="shared" si="14"/>
        <v>100</v>
      </c>
      <c r="X38" s="1509"/>
      <c r="Y38" s="3603" t="s">
        <v>2326</v>
      </c>
      <c r="Z38" s="1510" t="str">
        <f t="shared" si="15"/>
        <v>业态</v>
      </c>
      <c r="AA38" s="1507">
        <f t="shared" si="3"/>
        <v>1</v>
      </c>
      <c r="AB38" s="1507">
        <f t="shared" si="4"/>
        <v>1</v>
      </c>
      <c r="AC38" s="1507">
        <f t="shared" si="5"/>
        <v>1</v>
      </c>
    </row>
    <row r="39" spans="1:29" ht="15">
      <c r="A39" s="431"/>
      <c r="B39" s="381" t="s">
        <v>2426</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21"/>
      <c r="M39" s="2915"/>
      <c r="N39" s="2915"/>
      <c r="O39" s="2915"/>
      <c r="P39" s="3640"/>
      <c r="Q39" s="1506" t="str">
        <f t="shared" si="11"/>
        <v>层高</v>
      </c>
      <c r="R39" s="714" t="s">
        <v>17</v>
      </c>
      <c r="S39" s="715">
        <f t="shared" si="12"/>
        <v>100</v>
      </c>
      <c r="T39" s="714" t="s">
        <v>17</v>
      </c>
      <c r="U39" s="715">
        <f t="shared" si="13"/>
        <v>100</v>
      </c>
      <c r="V39" s="714" t="s">
        <v>17</v>
      </c>
      <c r="W39" s="715">
        <f t="shared" si="14"/>
        <v>100</v>
      </c>
      <c r="X39" s="1509"/>
      <c r="Y39" s="3603"/>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1"/>
      <c r="M40" s="2915"/>
      <c r="N40" s="2915"/>
      <c r="O40" s="2915"/>
      <c r="P40" s="3640"/>
      <c r="Q40" s="1506" t="str">
        <f t="shared" si="11"/>
        <v>单套建筑面积</v>
      </c>
      <c r="R40" s="714" t="s">
        <v>17</v>
      </c>
      <c r="S40" s="715">
        <f t="shared" si="12"/>
        <v>100</v>
      </c>
      <c r="T40" s="714" t="s">
        <v>17</v>
      </c>
      <c r="U40" s="715">
        <f t="shared" si="13"/>
        <v>100</v>
      </c>
      <c r="V40" s="714" t="s">
        <v>17</v>
      </c>
      <c r="W40" s="715">
        <f t="shared" si="14"/>
        <v>100</v>
      </c>
      <c r="X40" s="1509"/>
      <c r="Y40" s="3603"/>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0"/>
      <c r="M41" s="2922"/>
      <c r="N41" s="2922"/>
      <c r="O41" s="2922"/>
      <c r="P41" s="3640"/>
      <c r="Q41" s="716" t="str">
        <f t="shared" si="11"/>
        <v>进深比</v>
      </c>
      <c r="R41" s="717" t="s">
        <v>17</v>
      </c>
      <c r="S41" s="718">
        <f t="shared" si="12"/>
        <v>100</v>
      </c>
      <c r="T41" s="717" t="s">
        <v>17</v>
      </c>
      <c r="U41" s="718">
        <f t="shared" si="13"/>
        <v>100</v>
      </c>
      <c r="V41" s="717" t="s">
        <v>17</v>
      </c>
      <c r="W41" s="718">
        <f t="shared" si="14"/>
        <v>100</v>
      </c>
      <c r="X41" s="719"/>
      <c r="Y41" s="3603"/>
      <c r="Z41" s="720" t="str">
        <f t="shared" si="15"/>
        <v>进深比</v>
      </c>
      <c r="AA41" s="1507">
        <f t="shared" si="3"/>
        <v>1</v>
      </c>
      <c r="AB41" s="1507">
        <f t="shared" si="4"/>
        <v>1</v>
      </c>
      <c r="AC41" s="1507">
        <f t="shared" si="5"/>
        <v>1</v>
      </c>
    </row>
    <row r="42" spans="1:29" ht="15">
      <c r="A42" s="431"/>
      <c r="B42" s="381" t="s">
        <v>2429</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21"/>
      <c r="M42" s="2915"/>
      <c r="N42" s="2915"/>
      <c r="O42" s="2915"/>
      <c r="P42" s="3640"/>
      <c r="Q42" s="1506" t="str">
        <f t="shared" si="11"/>
        <v>内部装修</v>
      </c>
      <c r="R42" s="714" t="s">
        <v>17</v>
      </c>
      <c r="S42" s="715">
        <f t="shared" si="12"/>
        <v>100</v>
      </c>
      <c r="T42" s="714" t="s">
        <v>17</v>
      </c>
      <c r="U42" s="715">
        <f t="shared" si="13"/>
        <v>100</v>
      </c>
      <c r="V42" s="714" t="s">
        <v>17</v>
      </c>
      <c r="W42" s="715">
        <f t="shared" si="14"/>
        <v>100</v>
      </c>
      <c r="X42" s="1509"/>
      <c r="Y42" s="3603"/>
      <c r="Z42" s="1510" t="str">
        <f t="shared" si="15"/>
        <v>内部装修</v>
      </c>
      <c r="AA42" s="1507">
        <f t="shared" si="3"/>
        <v>1</v>
      </c>
      <c r="AB42" s="1507">
        <f t="shared" si="4"/>
        <v>1</v>
      </c>
      <c r="AC42" s="1507">
        <f t="shared" si="5"/>
        <v>1</v>
      </c>
    </row>
    <row r="43" spans="1:29" ht="15">
      <c r="A43" s="431"/>
      <c r="B43" s="381" t="s">
        <v>2337</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21"/>
      <c r="M43" s="2915"/>
      <c r="N43" s="2915"/>
      <c r="O43" s="2915"/>
      <c r="P43" s="3640"/>
      <c r="Q43" s="1506" t="str">
        <f t="shared" si="11"/>
        <v>内部装修维护情况</v>
      </c>
      <c r="R43" s="714" t="s">
        <v>17</v>
      </c>
      <c r="S43" s="715">
        <f t="shared" si="12"/>
        <v>100</v>
      </c>
      <c r="T43" s="714" t="s">
        <v>17</v>
      </c>
      <c r="U43" s="715">
        <f t="shared" si="13"/>
        <v>100</v>
      </c>
      <c r="V43" s="714" t="s">
        <v>17</v>
      </c>
      <c r="W43" s="715">
        <f t="shared" si="14"/>
        <v>100</v>
      </c>
      <c r="X43" s="1509"/>
      <c r="Y43" s="3603"/>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6"/>
      <c r="M44" s="2917"/>
      <c r="N44" s="2917"/>
      <c r="O44" s="2917"/>
      <c r="P44" s="3640"/>
      <c r="Q44" s="1497">
        <f t="shared" si="11"/>
        <v>111</v>
      </c>
      <c r="R44" s="710" t="s">
        <v>17</v>
      </c>
      <c r="S44" s="711">
        <f t="shared" si="12"/>
        <v>100</v>
      </c>
      <c r="T44" s="710" t="s">
        <v>17</v>
      </c>
      <c r="U44" s="711">
        <f t="shared" si="13"/>
        <v>100</v>
      </c>
      <c r="V44" s="710" t="s">
        <v>17</v>
      </c>
      <c r="W44" s="711">
        <f t="shared" si="14"/>
        <v>100</v>
      </c>
      <c r="X44" s="712"/>
      <c r="Y44" s="3603"/>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1"/>
      <c r="M45" s="2915"/>
      <c r="N45" s="2915"/>
      <c r="O45" s="2915"/>
      <c r="P45" s="3640"/>
      <c r="Q45" s="1506">
        <f t="shared" si="11"/>
        <v>111</v>
      </c>
      <c r="R45" s="714" t="s">
        <v>17</v>
      </c>
      <c r="S45" s="715">
        <f t="shared" si="12"/>
        <v>100</v>
      </c>
      <c r="T45" s="714" t="s">
        <v>17</v>
      </c>
      <c r="U45" s="715">
        <f t="shared" si="13"/>
        <v>100</v>
      </c>
      <c r="V45" s="714" t="s">
        <v>17</v>
      </c>
      <c r="W45" s="715">
        <f t="shared" si="14"/>
        <v>100</v>
      </c>
      <c r="X45" s="1509"/>
      <c r="Y45" s="3603"/>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1"/>
      <c r="M46" s="2915"/>
      <c r="N46" s="2915"/>
      <c r="O46" s="2915"/>
      <c r="P46" s="3641"/>
      <c r="Q46" s="1506">
        <f t="shared" si="11"/>
        <v>111</v>
      </c>
      <c r="R46" s="714" t="s">
        <v>17</v>
      </c>
      <c r="S46" s="715">
        <f t="shared" si="12"/>
        <v>100</v>
      </c>
      <c r="T46" s="714" t="s">
        <v>17</v>
      </c>
      <c r="U46" s="715">
        <f t="shared" si="13"/>
        <v>100</v>
      </c>
      <c r="V46" s="714" t="s">
        <v>17</v>
      </c>
      <c r="W46" s="715">
        <f t="shared" si="14"/>
        <v>100</v>
      </c>
      <c r="X46" s="1509"/>
      <c r="Y46" s="3642"/>
      <c r="Z46" s="1510">
        <f t="shared" si="15"/>
        <v>111</v>
      </c>
      <c r="AA46" s="1507">
        <f t="shared" si="3"/>
        <v>1</v>
      </c>
      <c r="AB46" s="1507">
        <f t="shared" si="4"/>
        <v>1</v>
      </c>
      <c r="AC46" s="1507">
        <f t="shared" si="5"/>
        <v>1</v>
      </c>
    </row>
    <row r="47" spans="1:29" ht="15">
      <c r="A47" s="438" t="s">
        <v>2338</v>
      </c>
      <c r="B47" s="439"/>
      <c r="C47" s="1288" t="s">
        <v>1</v>
      </c>
      <c r="D47" s="1289"/>
      <c r="E47" s="1290"/>
      <c r="F47" s="1291"/>
      <c r="G47" s="1292"/>
      <c r="H47" s="1293"/>
      <c r="I47" s="1290"/>
      <c r="J47" s="1293"/>
      <c r="K47" s="723"/>
      <c r="L47" s="2923"/>
      <c r="M47" s="2924"/>
      <c r="N47" s="2915"/>
      <c r="O47" s="2924"/>
      <c r="P47" s="3585" t="str">
        <f>A47</f>
        <v>成交单价（元/平方米）</v>
      </c>
      <c r="Q47" s="3585"/>
      <c r="R47" s="3598">
        <f>E47</f>
        <v>0</v>
      </c>
      <c r="S47" s="3598"/>
      <c r="T47" s="3598">
        <f>G47</f>
        <v>0</v>
      </c>
      <c r="U47" s="3598"/>
      <c r="V47" s="3598">
        <f>I47</f>
        <v>0</v>
      </c>
      <c r="W47" s="3598"/>
      <c r="X47" s="699"/>
      <c r="Y47" s="721"/>
      <c r="Z47" s="699"/>
      <c r="AA47" s="699"/>
      <c r="AB47" s="699"/>
      <c r="AC47" s="699"/>
    </row>
    <row r="48" spans="1:29" ht="15.75" thickBot="1">
      <c r="A48" s="445" t="s">
        <v>2430</v>
      </c>
      <c r="B48" s="446"/>
      <c r="C48" s="1294" t="e">
        <f>R49</f>
        <v>#DIV/0!</v>
      </c>
      <c r="D48" s="2508" t="s">
        <v>2821</v>
      </c>
      <c r="E48" s="1295" t="e">
        <f>R48</f>
        <v>#DIV/0!</v>
      </c>
      <c r="F48" s="2509"/>
      <c r="G48" s="1294" t="e">
        <f>T48</f>
        <v>#DIV/0!</v>
      </c>
      <c r="H48" s="2509"/>
      <c r="I48" s="1295" t="e">
        <f>V48</f>
        <v>#DIV/0!</v>
      </c>
      <c r="J48" s="2509"/>
      <c r="K48" s="2511">
        <f>F48+H48+J48</f>
        <v>0</v>
      </c>
      <c r="L48" s="2923"/>
      <c r="M48" s="2924"/>
      <c r="N48" s="2915"/>
      <c r="O48" s="2924"/>
      <c r="P48" s="3585" t="str">
        <f>A48</f>
        <v>比较价值（元/平方米）</v>
      </c>
      <c r="Q48" s="3585"/>
      <c r="R48" s="3638" t="e">
        <f>IF(F1="售价",ROUND(PRODUCT(R47,AA7:AA46),0),ROUND(PRODUCT(R47,AA7:AA46),1))</f>
        <v>#DIV/0!</v>
      </c>
      <c r="S48" s="3638"/>
      <c r="T48" s="3638" t="e">
        <f>IF(F1="售价",ROUND(PRODUCT(T47,AB7:AB46),0),ROUND(PRODUCT(T47,AB7:AB46),1))</f>
        <v>#DIV/0!</v>
      </c>
      <c r="U48" s="3638"/>
      <c r="V48" s="3638" t="e">
        <f>IF(F1="售价",ROUND(PRODUCT(V47,AC7:AC46),0),ROUND(PRODUCT(V47,AC7:AC46),1))</f>
        <v>#DIV/0!</v>
      </c>
      <c r="W48" s="3638"/>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3"/>
      <c r="M49" s="2924"/>
      <c r="N49" s="2915"/>
      <c r="O49" s="2924"/>
      <c r="P49" s="3605" t="str">
        <f>A49</f>
        <v>估价对象XX用房的比较价值（楼面单价，元/平方米）</v>
      </c>
      <c r="Q49" s="3606"/>
      <c r="R49" s="3637" t="e">
        <f>IF(F1="售价",ROUND(IF(D48="简单平均",AVERAGE(R48:V48),R48*F48+T48*H48+V48*J48),0),ROUND(IF(D48="简单平均",AVERAGE(R48:V48),R48*F48+T48*H48+V48*J48),1))</f>
        <v>#DIV/0!</v>
      </c>
      <c r="S49" s="3637"/>
      <c r="T49" s="3637"/>
      <c r="U49" s="3637"/>
      <c r="V49" s="3637"/>
      <c r="W49" s="3637"/>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c r="P50" s="2935"/>
      <c r="Q50" s="2924"/>
      <c r="R50" s="2924"/>
      <c r="S50" s="2924"/>
      <c r="T50" s="2924"/>
      <c r="U50" s="2924"/>
      <c r="V50" s="2924"/>
      <c r="W50" s="2924"/>
      <c r="X50" s="2924"/>
      <c r="Y50" s="2924"/>
      <c r="Z50" s="2924"/>
      <c r="AA50" s="2924"/>
      <c r="AB50" s="2924"/>
      <c r="AC50" s="2924"/>
    </row>
    <row r="51" spans="1:29">
      <c r="A51" s="2924"/>
      <c r="B51" s="2924"/>
      <c r="C51" s="2924"/>
      <c r="D51" s="2924"/>
      <c r="E51" s="2924"/>
      <c r="F51" s="2924"/>
      <c r="G51" s="2924"/>
      <c r="H51" s="2924"/>
      <c r="I51" s="2924"/>
      <c r="J51" s="2924"/>
      <c r="K51" s="2929"/>
      <c r="L51" s="2925"/>
      <c r="M51" s="2924"/>
      <c r="N51" s="2924"/>
      <c r="O51" s="2924"/>
      <c r="P51" s="2935"/>
      <c r="Q51" s="2924"/>
      <c r="R51" s="2924"/>
      <c r="S51" s="2924"/>
      <c r="T51" s="2924"/>
      <c r="U51" s="2924"/>
      <c r="V51" s="2924"/>
      <c r="W51" s="2924"/>
      <c r="X51" s="2924"/>
      <c r="Y51" s="2924"/>
      <c r="Z51" s="2924"/>
      <c r="AA51" s="2924"/>
      <c r="AB51" s="2924"/>
      <c r="AC51" s="2924"/>
    </row>
    <row r="52" spans="1:29" ht="13.5" customHeight="1">
      <c r="A52" s="2924"/>
      <c r="B52" s="2924"/>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c r="P52" s="2935"/>
      <c r="Q52" s="2924"/>
      <c r="R52" s="2924"/>
      <c r="S52" s="2924"/>
      <c r="T52" s="2924"/>
      <c r="U52" s="2924"/>
      <c r="V52" s="2924"/>
      <c r="W52" s="2924"/>
      <c r="X52" s="2924"/>
      <c r="Y52" s="2924"/>
      <c r="Z52" s="2924"/>
      <c r="AA52" s="2924"/>
      <c r="AB52" s="2924"/>
      <c r="AC52" s="2924"/>
    </row>
    <row r="53" spans="1:29" ht="13.5" customHeight="1">
      <c r="A53" s="2924"/>
      <c r="B53" s="2924"/>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c r="P53" s="2935"/>
      <c r="Q53" s="2924"/>
      <c r="R53" s="2924"/>
      <c r="S53" s="2924"/>
      <c r="T53" s="2924"/>
      <c r="U53" s="2924"/>
      <c r="V53" s="2924"/>
      <c r="W53" s="2924"/>
      <c r="X53" s="2924"/>
      <c r="Y53" s="2924"/>
      <c r="Z53" s="2924"/>
      <c r="AA53" s="2924"/>
      <c r="AB53" s="2924"/>
      <c r="AC53" s="2924"/>
    </row>
    <row r="54" spans="1:29" s="459" customFormat="1" ht="13.5" customHeight="1">
      <c r="A54" s="2927"/>
      <c r="B54" s="2927"/>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936"/>
      <c r="Q54" s="2927"/>
      <c r="R54" s="2927"/>
      <c r="S54" s="2927"/>
      <c r="T54" s="2927"/>
      <c r="U54" s="2927"/>
      <c r="V54" s="2927"/>
      <c r="W54" s="2927"/>
      <c r="X54" s="2927"/>
      <c r="Y54" s="2927"/>
      <c r="Z54" s="2927"/>
      <c r="AA54" s="2927"/>
      <c r="AB54" s="2927"/>
      <c r="AC54" s="2927"/>
    </row>
    <row r="55" spans="1:29" s="459" customFormat="1">
      <c r="A55" s="2927"/>
      <c r="B55" s="2930"/>
      <c r="C55" s="2931"/>
      <c r="D55" s="2927"/>
      <c r="E55" s="2927"/>
      <c r="F55" s="2927"/>
      <c r="G55" s="2927"/>
      <c r="H55" s="2927"/>
      <c r="I55" s="2927"/>
      <c r="J55" s="2927"/>
      <c r="K55" s="2932"/>
      <c r="L55" s="2926"/>
      <c r="M55" s="2927"/>
      <c r="N55" s="2927"/>
      <c r="O55" s="2927"/>
      <c r="P55" s="2936"/>
      <c r="Q55" s="2927"/>
      <c r="R55" s="2927"/>
      <c r="S55" s="2927"/>
      <c r="T55" s="2927"/>
      <c r="U55" s="2927"/>
      <c r="V55" s="2927"/>
      <c r="W55" s="2927"/>
      <c r="X55" s="2927"/>
      <c r="Y55" s="2927"/>
      <c r="Z55" s="2927"/>
      <c r="AA55" s="2927"/>
      <c r="AB55" s="2927"/>
      <c r="AC55" s="2927"/>
    </row>
    <row r="56" spans="1:29">
      <c r="A56" s="2924"/>
      <c r="B56" s="2930"/>
      <c r="C56" s="2931"/>
      <c r="D56" s="2924"/>
      <c r="E56" s="2924"/>
      <c r="F56" s="2924"/>
      <c r="G56" s="2924"/>
      <c r="H56" s="2924"/>
      <c r="I56" s="2924"/>
      <c r="J56" s="2924"/>
      <c r="K56" s="2929"/>
      <c r="L56" s="2925"/>
      <c r="M56" s="2924"/>
      <c r="N56" s="2924"/>
      <c r="O56" s="2924"/>
      <c r="P56" s="2935"/>
      <c r="Q56" s="2924"/>
      <c r="R56" s="2924"/>
      <c r="S56" s="2924"/>
      <c r="T56" s="2924"/>
      <c r="U56" s="2924"/>
      <c r="V56" s="2924"/>
      <c r="W56" s="2924"/>
      <c r="X56" s="2924"/>
      <c r="Y56" s="2924"/>
      <c r="Z56" s="2924"/>
      <c r="AA56" s="2924"/>
      <c r="AB56" s="2924"/>
      <c r="AC56" s="2924"/>
    </row>
    <row r="57" spans="1:29" ht="21.75" thickBot="1">
      <c r="A57" s="703" t="s">
        <v>2435</v>
      </c>
      <c r="B57" s="699"/>
      <c r="C57" s="704"/>
      <c r="D57" s="704"/>
      <c r="E57" s="704"/>
      <c r="F57" s="705"/>
      <c r="G57" s="705"/>
      <c r="H57" s="704"/>
      <c r="I57" s="704"/>
      <c r="J57" s="704"/>
      <c r="K57" s="706"/>
      <c r="L57" s="1073"/>
      <c r="M57" s="1071"/>
      <c r="N57" s="1071"/>
      <c r="O57" s="1071"/>
      <c r="P57" s="2937"/>
      <c r="Q57" s="2938"/>
      <c r="R57" s="2924"/>
      <c r="S57" s="2924"/>
      <c r="T57" s="2924"/>
      <c r="U57" s="2924"/>
      <c r="V57" s="2924"/>
      <c r="W57" s="2924"/>
      <c r="X57" s="2924"/>
      <c r="Y57" s="2924"/>
      <c r="Z57" s="2924"/>
      <c r="AA57" s="2924"/>
      <c r="AB57" s="2924"/>
      <c r="AC57" s="2924"/>
    </row>
    <row r="58" spans="1:29" s="465" customFormat="1" ht="15">
      <c r="A58" s="462" t="s">
        <v>2309</v>
      </c>
      <c r="B58" s="463"/>
      <c r="C58" s="1318" t="str">
        <f>YEAR(C7)&amp;"-"&amp;MONTH(C7)</f>
        <v>2021-12</v>
      </c>
      <c r="D58" s="1319">
        <f>EDATE(C58,-1)</f>
        <v>44501</v>
      </c>
      <c r="E58" s="1319">
        <f t="shared" ref="E58:N58" si="16">EDATE(D58,-1)</f>
        <v>44470</v>
      </c>
      <c r="F58" s="1319">
        <f t="shared" si="16"/>
        <v>44440</v>
      </c>
      <c r="G58" s="1319">
        <f t="shared" si="16"/>
        <v>44409</v>
      </c>
      <c r="H58" s="1319">
        <f t="shared" si="16"/>
        <v>44378</v>
      </c>
      <c r="I58" s="1319">
        <f t="shared" si="16"/>
        <v>44348</v>
      </c>
      <c r="J58" s="1319">
        <f t="shared" si="16"/>
        <v>44317</v>
      </c>
      <c r="K58" s="1319">
        <f t="shared" si="16"/>
        <v>44287</v>
      </c>
      <c r="L58" s="1319">
        <f t="shared" si="16"/>
        <v>44256</v>
      </c>
      <c r="M58" s="1319">
        <f t="shared" si="16"/>
        <v>44228</v>
      </c>
      <c r="N58" s="1319">
        <f t="shared" si="16"/>
        <v>44197</v>
      </c>
      <c r="O58" s="1319">
        <f>EDATE(N58,-1)</f>
        <v>44166</v>
      </c>
      <c r="P58" s="2939"/>
      <c r="Q58" s="2940"/>
      <c r="R58" s="2940"/>
      <c r="S58" s="2940"/>
      <c r="T58" s="2940"/>
      <c r="U58" s="2940"/>
      <c r="V58" s="2940"/>
      <c r="W58" s="2940"/>
      <c r="X58" s="2940"/>
      <c r="Y58" s="2940"/>
      <c r="Z58" s="2940"/>
      <c r="AA58" s="2940"/>
      <c r="AB58" s="2940"/>
      <c r="AC58" s="2940"/>
    </row>
    <row r="59" spans="1:29" s="113" customFormat="1" ht="15">
      <c r="A59" s="466"/>
      <c r="B59" s="467"/>
      <c r="C59" s="1317">
        <v>100</v>
      </c>
      <c r="D59" s="469"/>
      <c r="E59" s="469"/>
      <c r="F59" s="469"/>
      <c r="G59" s="469"/>
      <c r="H59" s="469"/>
      <c r="I59" s="469"/>
      <c r="J59" s="469"/>
      <c r="K59" s="469"/>
      <c r="L59" s="469"/>
      <c r="M59" s="470"/>
      <c r="N59" s="469"/>
      <c r="O59" s="470"/>
      <c r="P59" s="2941"/>
      <c r="Q59" s="2858"/>
      <c r="R59" s="2858"/>
      <c r="S59" s="2858"/>
      <c r="T59" s="2858"/>
      <c r="U59" s="2858"/>
      <c r="V59" s="2858"/>
      <c r="W59" s="2858"/>
      <c r="X59" s="2858"/>
      <c r="Y59" s="2858"/>
      <c r="Z59" s="2858"/>
      <c r="AA59" s="2858"/>
      <c r="AB59" s="2858"/>
      <c r="AC59" s="2858"/>
    </row>
    <row r="60" spans="1:29" s="113" customFormat="1" ht="15.75" thickBot="1">
      <c r="A60" s="472" t="s">
        <v>2346</v>
      </c>
      <c r="B60" s="473"/>
      <c r="C60" s="474"/>
      <c r="D60" s="475"/>
      <c r="E60" s="475"/>
      <c r="F60" s="475"/>
      <c r="G60" s="475"/>
      <c r="H60" s="475"/>
      <c r="I60" s="475"/>
      <c r="J60" s="475"/>
      <c r="K60" s="475"/>
      <c r="L60" s="475"/>
      <c r="M60" s="476"/>
      <c r="N60" s="475"/>
      <c r="O60" s="476"/>
      <c r="P60" s="2941"/>
      <c r="Q60" s="2938"/>
      <c r="R60" s="2858"/>
      <c r="S60" s="2858"/>
      <c r="T60" s="2858"/>
      <c r="U60" s="2858"/>
      <c r="V60" s="2858"/>
      <c r="W60" s="2858"/>
      <c r="X60" s="2858"/>
      <c r="Y60" s="2858"/>
      <c r="Z60" s="2858"/>
      <c r="AA60" s="2858"/>
      <c r="AB60" s="2858"/>
      <c r="AC60" s="2858"/>
    </row>
    <row r="61" spans="1:29" s="113" customFormat="1" ht="15">
      <c r="A61" s="478" t="s">
        <v>2311</v>
      </c>
      <c r="B61" s="467"/>
      <c r="C61" s="479" t="s">
        <v>2413</v>
      </c>
      <c r="D61" s="480"/>
      <c r="E61" s="480"/>
      <c r="F61" s="480"/>
      <c r="G61" s="480"/>
      <c r="H61" s="480"/>
      <c r="I61" s="480"/>
      <c r="J61" s="480"/>
      <c r="K61" s="480"/>
      <c r="L61" s="481"/>
      <c r="M61" s="482"/>
      <c r="N61" s="2951"/>
      <c r="O61" s="2951"/>
      <c r="P61" s="2942"/>
      <c r="Q61" s="2938"/>
      <c r="R61" s="2858"/>
      <c r="S61" s="2858"/>
      <c r="T61" s="2858"/>
      <c r="U61" s="2858"/>
      <c r="V61" s="2858"/>
      <c r="W61" s="2858"/>
      <c r="X61" s="2858"/>
      <c r="Y61" s="2858"/>
      <c r="Z61" s="2858"/>
      <c r="AA61" s="2858"/>
      <c r="AB61" s="2858"/>
      <c r="AC61" s="2858"/>
    </row>
    <row r="62" spans="1:29" s="113" customFormat="1" ht="15.75" thickBot="1">
      <c r="A62" s="478"/>
      <c r="B62" s="467"/>
      <c r="C62" s="468">
        <v>100</v>
      </c>
      <c r="D62" s="469"/>
      <c r="E62" s="469"/>
      <c r="F62" s="469"/>
      <c r="G62" s="469"/>
      <c r="H62" s="469"/>
      <c r="I62" s="469"/>
      <c r="J62" s="469"/>
      <c r="K62" s="469"/>
      <c r="L62" s="469"/>
      <c r="M62" s="471"/>
      <c r="N62" s="2951"/>
      <c r="O62" s="2951"/>
      <c r="P62" s="2941"/>
      <c r="Q62" s="2938"/>
      <c r="R62" s="2858"/>
      <c r="S62" s="2858"/>
      <c r="T62" s="2858"/>
      <c r="U62" s="2858"/>
      <c r="V62" s="2858"/>
      <c r="W62" s="2858"/>
      <c r="X62" s="2858"/>
      <c r="Y62" s="2858"/>
      <c r="Z62" s="2858"/>
      <c r="AA62" s="2858"/>
      <c r="AB62" s="2858"/>
      <c r="AC62" s="2858"/>
    </row>
    <row r="63" spans="1:29">
      <c r="A63" s="484" t="s">
        <v>2349</v>
      </c>
      <c r="B63" s="485" t="s">
        <v>2315</v>
      </c>
      <c r="C63" s="486">
        <f>C9</f>
        <v>0</v>
      </c>
      <c r="D63" s="487"/>
      <c r="E63" s="487"/>
      <c r="F63" s="487"/>
      <c r="G63" s="487"/>
      <c r="H63" s="487"/>
      <c r="I63" s="487"/>
      <c r="J63" s="487"/>
      <c r="K63" s="488"/>
      <c r="L63" s="489"/>
      <c r="M63" s="490"/>
      <c r="N63" s="2952"/>
      <c r="O63" s="2952"/>
      <c r="P63" s="2943"/>
      <c r="Q63" s="2938"/>
      <c r="R63" s="2924"/>
      <c r="S63" s="2924"/>
      <c r="T63" s="2924"/>
      <c r="U63" s="2924"/>
      <c r="V63" s="2924"/>
      <c r="W63" s="2924"/>
      <c r="X63" s="2924"/>
      <c r="Y63" s="2924"/>
      <c r="Z63" s="2924"/>
      <c r="AA63" s="2924"/>
      <c r="AB63" s="2924"/>
      <c r="AC63" s="2924"/>
    </row>
    <row r="64" spans="1:29" ht="15.75" thickBot="1">
      <c r="A64" s="491"/>
      <c r="B64" s="492"/>
      <c r="C64" s="493">
        <v>100</v>
      </c>
      <c r="D64" s="493"/>
      <c r="E64" s="493"/>
      <c r="F64" s="493"/>
      <c r="G64" s="493"/>
      <c r="H64" s="493"/>
      <c r="I64" s="493"/>
      <c r="J64" s="493"/>
      <c r="K64" s="493"/>
      <c r="L64" s="493"/>
      <c r="M64" s="494"/>
      <c r="N64" s="2953"/>
      <c r="O64" s="2953"/>
      <c r="P64" s="2943"/>
      <c r="Q64" s="2938"/>
      <c r="R64" s="2924"/>
      <c r="S64" s="2924"/>
      <c r="T64" s="2924"/>
      <c r="U64" s="2924"/>
      <c r="V64" s="2924"/>
      <c r="W64" s="2924"/>
      <c r="X64" s="2924"/>
      <c r="Y64" s="2924"/>
      <c r="Z64" s="2924"/>
      <c r="AA64" s="2924"/>
      <c r="AB64" s="2924"/>
      <c r="AC64" s="2924"/>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2"/>
      <c r="O65" s="2952"/>
      <c r="P65" s="2943"/>
      <c r="Q65" s="2938"/>
      <c r="R65" s="2924"/>
      <c r="S65" s="2924"/>
      <c r="T65" s="2924"/>
      <c r="U65" s="2924"/>
      <c r="V65" s="2924"/>
      <c r="W65" s="2924"/>
      <c r="X65" s="2924"/>
      <c r="Y65" s="2924"/>
      <c r="Z65" s="2924"/>
      <c r="AA65" s="2924"/>
      <c r="AB65" s="2924"/>
      <c r="AC65" s="292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3"/>
      <c r="O66" s="2953"/>
      <c r="P66" s="2943"/>
      <c r="Q66" s="2938"/>
      <c r="R66" s="2924"/>
      <c r="S66" s="2924"/>
      <c r="T66" s="2924"/>
      <c r="U66" s="2924"/>
      <c r="V66" s="2924"/>
      <c r="W66" s="2924"/>
      <c r="X66" s="2924"/>
      <c r="Y66" s="2924"/>
      <c r="Z66" s="2924"/>
      <c r="AA66" s="2924"/>
      <c r="AB66" s="2924"/>
      <c r="AC66" s="2924"/>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3"/>
      <c r="O67" s="2953"/>
      <c r="P67" s="2943"/>
      <c r="Q67" s="2938"/>
      <c r="R67" s="2924"/>
      <c r="S67" s="2924"/>
      <c r="T67" s="2924"/>
      <c r="U67" s="2924"/>
      <c r="V67" s="2924"/>
      <c r="W67" s="2924"/>
      <c r="X67" s="2924"/>
      <c r="Y67" s="2924"/>
      <c r="Z67" s="2924"/>
      <c r="AA67" s="2924"/>
      <c r="AB67" s="2924"/>
      <c r="AC67" s="2924"/>
    </row>
    <row r="68" spans="1:29" ht="15">
      <c r="A68" s="491"/>
      <c r="B68" s="505"/>
      <c r="C68" s="506"/>
      <c r="D68" s="506"/>
      <c r="E68" s="506"/>
      <c r="F68" s="506"/>
      <c r="G68" s="506"/>
      <c r="H68" s="506"/>
      <c r="I68" s="506"/>
      <c r="J68" s="506"/>
      <c r="K68" s="507"/>
      <c r="L68" s="508"/>
      <c r="M68" s="509"/>
      <c r="N68" s="2952"/>
      <c r="O68" s="2952"/>
      <c r="P68" s="2943"/>
      <c r="Q68" s="2938"/>
      <c r="R68" s="2924"/>
      <c r="S68" s="2924"/>
      <c r="T68" s="2924"/>
      <c r="U68" s="2924"/>
      <c r="V68" s="2924"/>
      <c r="W68" s="2924"/>
      <c r="X68" s="2924"/>
      <c r="Y68" s="2924"/>
      <c r="Z68" s="2924"/>
      <c r="AA68" s="2924"/>
      <c r="AB68" s="2924"/>
      <c r="AC68" s="292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3"/>
      <c r="O69" s="2953"/>
      <c r="P69" s="2943"/>
      <c r="Q69" s="2938"/>
      <c r="R69" s="2924"/>
      <c r="S69" s="2924"/>
      <c r="T69" s="2924"/>
      <c r="U69" s="2924"/>
      <c r="V69" s="2924"/>
      <c r="W69" s="2924"/>
      <c r="X69" s="2924"/>
      <c r="Y69" s="2924"/>
      <c r="Z69" s="2924"/>
      <c r="AA69" s="2924"/>
      <c r="AB69" s="2924"/>
      <c r="AC69" s="2924"/>
    </row>
    <row r="70" spans="1:29" s="430" customFormat="1" ht="15.75" thickTop="1">
      <c r="A70" s="510"/>
      <c r="B70" s="495">
        <f>B12</f>
        <v>111</v>
      </c>
      <c r="C70" s="511"/>
      <c r="D70" s="511"/>
      <c r="E70" s="511"/>
      <c r="F70" s="511"/>
      <c r="G70" s="511"/>
      <c r="H70" s="512"/>
      <c r="I70" s="512"/>
      <c r="J70" s="512"/>
      <c r="K70" s="512"/>
      <c r="L70" s="513"/>
      <c r="M70" s="514"/>
      <c r="N70" s="2954"/>
      <c r="O70" s="2954"/>
      <c r="P70" s="2944"/>
      <c r="Q70" s="2945"/>
      <c r="R70" s="2946"/>
      <c r="S70" s="2946"/>
      <c r="T70" s="2946"/>
      <c r="U70" s="2946"/>
      <c r="V70" s="2946"/>
      <c r="W70" s="2946"/>
      <c r="X70" s="2946"/>
      <c r="Y70" s="2946"/>
      <c r="Z70" s="2946"/>
      <c r="AA70" s="2946"/>
      <c r="AB70" s="2946"/>
      <c r="AC70" s="2946"/>
    </row>
    <row r="71" spans="1:29" s="430" customFormat="1" ht="15.75" thickBot="1">
      <c r="A71" s="510"/>
      <c r="B71" s="500"/>
      <c r="C71" s="517"/>
      <c r="D71" s="493"/>
      <c r="E71" s="493"/>
      <c r="F71" s="493"/>
      <c r="G71" s="493"/>
      <c r="H71" s="493"/>
      <c r="I71" s="493"/>
      <c r="J71" s="493"/>
      <c r="K71" s="493"/>
      <c r="L71" s="493"/>
      <c r="M71" s="494"/>
      <c r="N71" s="2953"/>
      <c r="O71" s="2953"/>
      <c r="P71" s="2944"/>
      <c r="Q71" s="2945"/>
      <c r="R71" s="2946"/>
      <c r="S71" s="2946"/>
      <c r="T71" s="2946"/>
      <c r="U71" s="2946"/>
      <c r="V71" s="2946"/>
      <c r="W71" s="2946"/>
      <c r="X71" s="2946"/>
      <c r="Y71" s="2946"/>
      <c r="Z71" s="2946"/>
      <c r="AA71" s="2946"/>
      <c r="AB71" s="2946"/>
      <c r="AC71" s="2946"/>
    </row>
    <row r="72" spans="1:29" s="430" customFormat="1" ht="15.75" thickTop="1">
      <c r="A72" s="510"/>
      <c r="B72" s="495">
        <f>B13</f>
        <v>111</v>
      </c>
      <c r="C72" s="511"/>
      <c r="D72" s="511"/>
      <c r="E72" s="511"/>
      <c r="F72" s="511"/>
      <c r="G72" s="511"/>
      <c r="H72" s="512"/>
      <c r="I72" s="512"/>
      <c r="J72" s="512"/>
      <c r="K72" s="512"/>
      <c r="L72" s="513"/>
      <c r="M72" s="514"/>
      <c r="N72" s="2954"/>
      <c r="O72" s="2954"/>
      <c r="P72" s="2947"/>
      <c r="Q72" s="2948"/>
      <c r="R72" s="2946"/>
      <c r="S72" s="2946"/>
      <c r="T72" s="2946"/>
      <c r="U72" s="2946"/>
      <c r="V72" s="2946"/>
      <c r="W72" s="2946"/>
      <c r="X72" s="2946"/>
      <c r="Y72" s="2946"/>
      <c r="Z72" s="2946"/>
      <c r="AA72" s="2946"/>
      <c r="AB72" s="2946"/>
      <c r="AC72" s="2946"/>
    </row>
    <row r="73" spans="1:29" s="430" customFormat="1" ht="15.75" thickBot="1">
      <c r="A73" s="510"/>
      <c r="B73" s="500"/>
      <c r="C73" s="517"/>
      <c r="D73" s="493"/>
      <c r="E73" s="493"/>
      <c r="F73" s="493"/>
      <c r="G73" s="517"/>
      <c r="H73" s="519"/>
      <c r="I73" s="519"/>
      <c r="J73" s="519"/>
      <c r="K73" s="519"/>
      <c r="L73" s="519"/>
      <c r="M73" s="520"/>
      <c r="N73" s="2954"/>
      <c r="O73" s="2954"/>
      <c r="P73" s="2944"/>
      <c r="Q73" s="2945"/>
      <c r="R73" s="2946"/>
      <c r="S73" s="2946"/>
      <c r="T73" s="2946"/>
      <c r="U73" s="2946"/>
      <c r="V73" s="2946"/>
      <c r="W73" s="2946"/>
      <c r="X73" s="2946"/>
      <c r="Y73" s="2946"/>
      <c r="Z73" s="2946"/>
      <c r="AA73" s="2946"/>
      <c r="AB73" s="2946"/>
      <c r="AC73" s="2946"/>
    </row>
    <row r="74" spans="1:29" s="430" customFormat="1" ht="15.75" thickTop="1">
      <c r="A74" s="510"/>
      <c r="B74" s="503">
        <f>B14</f>
        <v>111</v>
      </c>
      <c r="C74" s="511"/>
      <c r="D74" s="511"/>
      <c r="E74" s="511"/>
      <c r="F74" s="511"/>
      <c r="G74" s="480"/>
      <c r="H74" s="521"/>
      <c r="I74" s="521"/>
      <c r="J74" s="521"/>
      <c r="K74" s="521"/>
      <c r="L74" s="522"/>
      <c r="M74" s="523"/>
      <c r="N74" s="2954"/>
      <c r="O74" s="2954"/>
      <c r="P74" s="2949"/>
      <c r="Q74" s="2945"/>
      <c r="R74" s="2946"/>
      <c r="S74" s="2946"/>
      <c r="T74" s="2946"/>
      <c r="U74" s="2946"/>
      <c r="V74" s="2946"/>
      <c r="W74" s="2946"/>
      <c r="X74" s="2946"/>
      <c r="Y74" s="2946"/>
      <c r="Z74" s="2946"/>
      <c r="AA74" s="2946"/>
      <c r="AB74" s="2946"/>
      <c r="AC74" s="2946"/>
    </row>
    <row r="75" spans="1:29" s="430" customFormat="1" ht="15.75" thickBot="1">
      <c r="A75" s="525"/>
      <c r="B75" s="526"/>
      <c r="C75" s="527"/>
      <c r="D75" s="527"/>
      <c r="E75" s="527"/>
      <c r="F75" s="527"/>
      <c r="G75" s="527"/>
      <c r="H75" s="528"/>
      <c r="I75" s="528"/>
      <c r="J75" s="528"/>
      <c r="K75" s="528"/>
      <c r="L75" s="528"/>
      <c r="M75" s="529"/>
      <c r="N75" s="2954"/>
      <c r="O75" s="2954"/>
      <c r="P75" s="2944"/>
      <c r="Q75" s="2945"/>
      <c r="R75" s="2946"/>
      <c r="S75" s="2946"/>
      <c r="T75" s="2946"/>
      <c r="U75" s="2946"/>
      <c r="V75" s="2946"/>
      <c r="W75" s="2946"/>
      <c r="X75" s="2946"/>
      <c r="Y75" s="2946"/>
      <c r="Z75" s="2946"/>
      <c r="AA75" s="2946"/>
      <c r="AB75" s="2946"/>
      <c r="AC75" s="2946"/>
    </row>
    <row r="76" spans="1:29">
      <c r="A76" s="484" t="s">
        <v>2320</v>
      </c>
      <c r="B76" s="485" t="s">
        <v>2357</v>
      </c>
      <c r="C76" s="530" t="s">
        <v>2358</v>
      </c>
      <c r="D76" s="530" t="s">
        <v>2359</v>
      </c>
      <c r="E76" s="530" t="s">
        <v>2360</v>
      </c>
      <c r="F76" s="530" t="s">
        <v>2361</v>
      </c>
      <c r="G76" s="530" t="s">
        <v>2362</v>
      </c>
      <c r="H76" s="486"/>
      <c r="I76" s="486"/>
      <c r="J76" s="486"/>
      <c r="K76" s="531"/>
      <c r="L76" s="532"/>
      <c r="M76" s="533"/>
      <c r="N76" s="2952"/>
      <c r="O76" s="2952"/>
      <c r="P76" s="2950"/>
      <c r="Q76" s="2938"/>
      <c r="R76" s="2924"/>
      <c r="S76" s="2924"/>
      <c r="T76" s="2924"/>
      <c r="U76" s="2924"/>
      <c r="V76" s="2924"/>
      <c r="W76" s="2924"/>
      <c r="X76" s="2924"/>
      <c r="Y76" s="2924"/>
      <c r="Z76" s="2924"/>
      <c r="AA76" s="2924"/>
      <c r="AB76" s="2924"/>
      <c r="AC76" s="292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3"/>
      <c r="O77" s="2953"/>
      <c r="P77" s="2943"/>
      <c r="Q77" s="2938"/>
      <c r="R77" s="2924"/>
      <c r="S77" s="2924"/>
      <c r="T77" s="2924"/>
      <c r="U77" s="2924"/>
      <c r="V77" s="2924"/>
      <c r="W77" s="2924"/>
      <c r="X77" s="2924"/>
      <c r="Y77" s="2924"/>
      <c r="Z77" s="2924"/>
      <c r="AA77" s="2924"/>
      <c r="AB77" s="2924"/>
      <c r="AC77" s="2924"/>
    </row>
    <row r="78" spans="1:29" ht="15.75" thickTop="1">
      <c r="A78" s="491"/>
      <c r="B78" s="495" t="s">
        <v>2363</v>
      </c>
      <c r="C78" s="535" t="s">
        <v>2358</v>
      </c>
      <c r="D78" s="535" t="s">
        <v>2359</v>
      </c>
      <c r="E78" s="535" t="s">
        <v>2360</v>
      </c>
      <c r="F78" s="535" t="s">
        <v>2361</v>
      </c>
      <c r="G78" s="535" t="s">
        <v>2362</v>
      </c>
      <c r="H78" s="496"/>
      <c r="I78" s="496"/>
      <c r="J78" s="496"/>
      <c r="K78" s="497"/>
      <c r="L78" s="498"/>
      <c r="M78" s="499"/>
      <c r="N78" s="2952"/>
      <c r="O78" s="2952"/>
      <c r="P78" s="2943"/>
      <c r="Q78" s="2938"/>
      <c r="R78" s="2924"/>
      <c r="S78" s="2924"/>
      <c r="T78" s="2924"/>
      <c r="U78" s="2924"/>
      <c r="V78" s="2924"/>
      <c r="W78" s="2924"/>
      <c r="X78" s="2924"/>
      <c r="Y78" s="2924"/>
      <c r="Z78" s="2924"/>
      <c r="AA78" s="2924"/>
      <c r="AB78" s="2924"/>
      <c r="AC78" s="292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3"/>
      <c r="O79" s="2953"/>
      <c r="P79" s="2943"/>
      <c r="Q79" s="2938"/>
      <c r="R79" s="2924"/>
      <c r="S79" s="2924"/>
      <c r="T79" s="2924"/>
      <c r="U79" s="2924"/>
      <c r="V79" s="2924"/>
      <c r="W79" s="2924"/>
      <c r="X79" s="2924"/>
      <c r="Y79" s="2924"/>
      <c r="Z79" s="2924"/>
      <c r="AA79" s="2924"/>
      <c r="AB79" s="2924"/>
      <c r="AC79" s="2924"/>
    </row>
    <row r="80" spans="1:29" ht="15.75" thickTop="1">
      <c r="A80" s="491"/>
      <c r="B80" s="495" t="s">
        <v>2364</v>
      </c>
      <c r="C80" s="535" t="s">
        <v>2358</v>
      </c>
      <c r="D80" s="535" t="s">
        <v>2359</v>
      </c>
      <c r="E80" s="535" t="s">
        <v>2360</v>
      </c>
      <c r="F80" s="535" t="s">
        <v>2361</v>
      </c>
      <c r="G80" s="535" t="s">
        <v>2362</v>
      </c>
      <c r="H80" s="496"/>
      <c r="I80" s="496"/>
      <c r="J80" s="496"/>
      <c r="K80" s="497"/>
      <c r="L80" s="498"/>
      <c r="M80" s="499"/>
      <c r="N80" s="2952"/>
      <c r="O80" s="2952"/>
      <c r="P80" s="2943"/>
      <c r="Q80" s="2938"/>
      <c r="R80" s="2924"/>
      <c r="S80" s="2924"/>
      <c r="T80" s="2924"/>
      <c r="U80" s="2924"/>
      <c r="V80" s="2924"/>
      <c r="W80" s="2924"/>
      <c r="X80" s="2924"/>
      <c r="Y80" s="2924"/>
      <c r="Z80" s="2924"/>
      <c r="AA80" s="2924"/>
      <c r="AB80" s="2924"/>
      <c r="AC80" s="292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3"/>
      <c r="O81" s="2953"/>
      <c r="P81" s="2943"/>
      <c r="Q81" s="2938"/>
      <c r="R81" s="2924"/>
      <c r="S81" s="2924"/>
      <c r="T81" s="2924"/>
      <c r="U81" s="2924"/>
      <c r="V81" s="2924"/>
      <c r="W81" s="2924"/>
      <c r="X81" s="2924"/>
      <c r="Y81" s="2924"/>
      <c r="Z81" s="2924"/>
      <c r="AA81" s="2924"/>
      <c r="AB81" s="2924"/>
      <c r="AC81" s="2924"/>
    </row>
    <row r="82" spans="1:29" ht="15.75" thickTop="1">
      <c r="A82" s="491"/>
      <c r="B82" s="503" t="s">
        <v>2416</v>
      </c>
      <c r="C82" s="616" t="s">
        <v>2436</v>
      </c>
      <c r="D82" s="616" t="s">
        <v>2437</v>
      </c>
      <c r="E82" s="616" t="s">
        <v>2438</v>
      </c>
      <c r="F82" s="616" t="s">
        <v>2439</v>
      </c>
      <c r="G82" s="616" t="s">
        <v>2440</v>
      </c>
      <c r="H82" s="496"/>
      <c r="I82" s="496"/>
      <c r="J82" s="496"/>
      <c r="K82" s="496"/>
      <c r="L82" s="496"/>
      <c r="M82" s="1263"/>
      <c r="N82" s="2953"/>
      <c r="O82" s="2953"/>
      <c r="P82" s="2943"/>
      <c r="Q82" s="2938"/>
      <c r="R82" s="2924"/>
      <c r="S82" s="2924"/>
      <c r="T82" s="2924"/>
      <c r="U82" s="2924"/>
      <c r="V82" s="2924"/>
      <c r="W82" s="2924"/>
      <c r="X82" s="2924"/>
      <c r="Y82" s="2924"/>
      <c r="Z82" s="2924"/>
      <c r="AA82" s="2924"/>
      <c r="AB82" s="2924"/>
      <c r="AC82" s="292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3"/>
      <c r="O83" s="2953"/>
      <c r="P83" s="2943"/>
      <c r="Q83" s="2938"/>
      <c r="R83" s="2924"/>
      <c r="S83" s="2924"/>
      <c r="T83" s="2924"/>
      <c r="U83" s="2924"/>
      <c r="V83" s="2924"/>
      <c r="W83" s="2924"/>
      <c r="X83" s="2924"/>
      <c r="Y83" s="2924"/>
      <c r="Z83" s="2924"/>
      <c r="AA83" s="2924"/>
      <c r="AB83" s="2924"/>
      <c r="AC83" s="2924"/>
    </row>
    <row r="84" spans="1:29" ht="15.75" thickTop="1">
      <c r="A84" s="491"/>
      <c r="B84" s="495" t="s">
        <v>2370</v>
      </c>
      <c r="C84" s="535" t="s">
        <v>2358</v>
      </c>
      <c r="D84" s="535" t="s">
        <v>2359</v>
      </c>
      <c r="E84" s="535" t="s">
        <v>2360</v>
      </c>
      <c r="F84" s="535" t="s">
        <v>2361</v>
      </c>
      <c r="G84" s="535" t="s">
        <v>2362</v>
      </c>
      <c r="H84" s="496"/>
      <c r="I84" s="496"/>
      <c r="J84" s="496"/>
      <c r="K84" s="497"/>
      <c r="L84" s="498"/>
      <c r="M84" s="499"/>
      <c r="N84" s="2952"/>
      <c r="O84" s="2952"/>
      <c r="P84" s="2943"/>
      <c r="Q84" s="2938"/>
      <c r="R84" s="2924"/>
      <c r="S84" s="2924"/>
      <c r="T84" s="2924"/>
      <c r="U84" s="2924"/>
      <c r="V84" s="2924"/>
      <c r="W84" s="2924"/>
      <c r="X84" s="2924"/>
      <c r="Y84" s="2924"/>
      <c r="Z84" s="2924"/>
      <c r="AA84" s="2924"/>
      <c r="AB84" s="2924"/>
      <c r="AC84" s="292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3"/>
      <c r="O85" s="2953"/>
      <c r="P85" s="2943"/>
      <c r="Q85" s="2938"/>
      <c r="R85" s="2924"/>
      <c r="S85" s="2924"/>
      <c r="T85" s="2924"/>
      <c r="U85" s="2924"/>
      <c r="V85" s="2924"/>
      <c r="W85" s="2924"/>
      <c r="X85" s="2924"/>
      <c r="Y85" s="2924"/>
      <c r="Z85" s="2924"/>
      <c r="AA85" s="2924"/>
      <c r="AB85" s="2924"/>
      <c r="AC85" s="2924"/>
    </row>
    <row r="86" spans="1:29" s="113" customFormat="1" ht="15.75" thickTop="1">
      <c r="A86" s="536"/>
      <c r="B86" s="495" t="s">
        <v>2441</v>
      </c>
      <c r="C86" s="511"/>
      <c r="D86" s="511"/>
      <c r="E86" s="511"/>
      <c r="F86" s="511"/>
      <c r="G86" s="511"/>
      <c r="H86" s="511"/>
      <c r="I86" s="511"/>
      <c r="J86" s="511"/>
      <c r="K86" s="511"/>
      <c r="L86" s="537"/>
      <c r="M86" s="538"/>
      <c r="N86" s="2951"/>
      <c r="O86" s="2951"/>
      <c r="P86" s="2943"/>
      <c r="Q86" s="2938"/>
      <c r="R86" s="2858"/>
      <c r="S86" s="2858"/>
      <c r="T86" s="2858"/>
      <c r="U86" s="2858"/>
      <c r="V86" s="2858"/>
      <c r="W86" s="2858"/>
      <c r="X86" s="2858"/>
      <c r="Y86" s="2858"/>
      <c r="Z86" s="2858"/>
      <c r="AA86" s="2858"/>
      <c r="AB86" s="2858"/>
      <c r="AC86" s="285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3"/>
      <c r="O87" s="2953"/>
      <c r="P87" s="2943"/>
      <c r="Q87" s="2938"/>
      <c r="R87" s="2858"/>
      <c r="S87" s="2858"/>
      <c r="T87" s="2858"/>
      <c r="U87" s="2858"/>
      <c r="V87" s="2858"/>
      <c r="W87" s="2858"/>
      <c r="X87" s="2858"/>
      <c r="Y87" s="2858"/>
      <c r="Z87" s="2858"/>
      <c r="AA87" s="2858"/>
      <c r="AB87" s="2858"/>
      <c r="AC87" s="2858"/>
    </row>
    <row r="88" spans="1:29" s="113" customFormat="1" ht="15.75" thickTop="1">
      <c r="A88" s="536"/>
      <c r="B88" s="495" t="str">
        <f>B26</f>
        <v>平面位置/可视性</v>
      </c>
      <c r="C88" s="511"/>
      <c r="D88" s="511"/>
      <c r="E88" s="511"/>
      <c r="F88" s="2083"/>
      <c r="G88" s="511"/>
      <c r="H88" s="511"/>
      <c r="I88" s="511"/>
      <c r="J88" s="511"/>
      <c r="K88" s="511"/>
      <c r="L88" s="511"/>
      <c r="M88" s="538"/>
      <c r="N88" s="2951"/>
      <c r="O88" s="2951"/>
      <c r="P88" s="2943"/>
      <c r="Q88" s="2938"/>
      <c r="R88" s="2858"/>
      <c r="S88" s="2858"/>
      <c r="T88" s="2858"/>
      <c r="U88" s="2858"/>
      <c r="V88" s="2858"/>
      <c r="W88" s="2858"/>
      <c r="X88" s="2858"/>
      <c r="Y88" s="2858"/>
      <c r="Z88" s="2858"/>
      <c r="AA88" s="2858"/>
      <c r="AB88" s="2858"/>
      <c r="AC88" s="2858"/>
    </row>
    <row r="89" spans="1:29" s="113" customFormat="1" ht="15.75" thickBot="1">
      <c r="A89" s="536"/>
      <c r="B89" s="500"/>
      <c r="C89" s="517"/>
      <c r="D89" s="493"/>
      <c r="E89" s="493"/>
      <c r="F89" s="493"/>
      <c r="G89" s="493"/>
      <c r="H89" s="493"/>
      <c r="I89" s="493"/>
      <c r="J89" s="493"/>
      <c r="K89" s="493"/>
      <c r="L89" s="493"/>
      <c r="M89" s="493"/>
      <c r="N89" s="2953"/>
      <c r="O89" s="2953"/>
      <c r="P89" s="2943"/>
      <c r="Q89" s="2938"/>
      <c r="R89" s="2858"/>
      <c r="S89" s="2858"/>
      <c r="T89" s="2858"/>
      <c r="U89" s="2858"/>
      <c r="V89" s="2858"/>
      <c r="W89" s="2858"/>
      <c r="X89" s="2858"/>
      <c r="Y89" s="2858"/>
      <c r="Z89" s="2858"/>
      <c r="AA89" s="2858"/>
      <c r="AB89" s="2858"/>
      <c r="AC89" s="2858"/>
    </row>
    <row r="90" spans="1:29" s="430" customFormat="1" ht="15.75" thickTop="1">
      <c r="A90" s="510"/>
      <c r="B90" s="495" t="str">
        <f>B27</f>
        <v>人流量</v>
      </c>
      <c r="C90" s="511"/>
      <c r="D90" s="511"/>
      <c r="E90" s="511"/>
      <c r="F90" s="511"/>
      <c r="G90" s="511"/>
      <c r="H90" s="512"/>
      <c r="I90" s="512"/>
      <c r="J90" s="512"/>
      <c r="K90" s="512"/>
      <c r="L90" s="513"/>
      <c r="M90" s="514"/>
      <c r="N90" s="2954"/>
      <c r="O90" s="2954"/>
      <c r="P90" s="2944"/>
      <c r="Q90" s="2945"/>
      <c r="R90" s="2946"/>
      <c r="S90" s="2946"/>
      <c r="T90" s="2946"/>
      <c r="U90" s="2946"/>
      <c r="V90" s="2946"/>
      <c r="W90" s="2946"/>
      <c r="X90" s="2946"/>
      <c r="Y90" s="2946"/>
      <c r="Z90" s="2946"/>
      <c r="AA90" s="2946"/>
      <c r="AB90" s="2946"/>
      <c r="AC90" s="294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4"/>
      <c r="O91" s="2954"/>
      <c r="P91" s="2944"/>
      <c r="Q91" s="2945"/>
      <c r="R91" s="2946"/>
      <c r="S91" s="2946"/>
      <c r="T91" s="2946"/>
      <c r="U91" s="2946"/>
      <c r="V91" s="2946"/>
      <c r="W91" s="2946"/>
      <c r="X91" s="2946"/>
      <c r="Y91" s="2946"/>
      <c r="Z91" s="2946"/>
      <c r="AA91" s="2946"/>
      <c r="AB91" s="2946"/>
      <c r="AC91" s="2946"/>
    </row>
    <row r="92" spans="1:29" ht="15.75" thickTop="1">
      <c r="A92" s="491"/>
      <c r="B92" s="495" t="str">
        <f>B28</f>
        <v>楼层</v>
      </c>
      <c r="C92" s="511"/>
      <c r="D92" s="511"/>
      <c r="E92" s="511"/>
      <c r="F92" s="511"/>
      <c r="G92" s="511"/>
      <c r="H92" s="511"/>
      <c r="I92" s="511"/>
      <c r="J92" s="511"/>
      <c r="K92" s="511"/>
      <c r="L92" s="537"/>
      <c r="M92" s="538"/>
      <c r="N92" s="2952"/>
      <c r="O92" s="2952"/>
      <c r="P92" s="2943"/>
      <c r="Q92" s="2938"/>
      <c r="R92" s="2924"/>
      <c r="S92" s="2924"/>
      <c r="T92" s="2924"/>
      <c r="U92" s="2924"/>
      <c r="V92" s="2924"/>
      <c r="W92" s="2924"/>
      <c r="X92" s="2924"/>
      <c r="Y92" s="2924"/>
      <c r="Z92" s="2924"/>
      <c r="AA92" s="2924"/>
      <c r="AB92" s="2924"/>
      <c r="AC92" s="2924"/>
    </row>
    <row r="93" spans="1:29" ht="15.75" thickBot="1">
      <c r="A93" s="491"/>
      <c r="B93" s="500"/>
      <c r="C93" s="493"/>
      <c r="D93" s="493"/>
      <c r="E93" s="493"/>
      <c r="F93" s="493"/>
      <c r="G93" s="493"/>
      <c r="H93" s="493"/>
      <c r="I93" s="493"/>
      <c r="J93" s="493"/>
      <c r="K93" s="493"/>
      <c r="L93" s="493"/>
      <c r="M93" s="494"/>
      <c r="N93" s="2953"/>
      <c r="O93" s="2953"/>
      <c r="P93" s="2943"/>
      <c r="Q93" s="2938"/>
      <c r="R93" s="2924"/>
      <c r="S93" s="2924"/>
      <c r="T93" s="2924"/>
      <c r="U93" s="2924"/>
      <c r="V93" s="2924"/>
      <c r="W93" s="2924"/>
      <c r="X93" s="2924"/>
      <c r="Y93" s="2924"/>
      <c r="Z93" s="2924"/>
      <c r="AA93" s="2924"/>
      <c r="AB93" s="2924"/>
      <c r="AC93" s="2924"/>
    </row>
    <row r="94" spans="1:29" ht="15.75" thickTop="1">
      <c r="A94" s="491"/>
      <c r="B94" s="495">
        <f>B29</f>
        <v>111</v>
      </c>
      <c r="C94" s="511"/>
      <c r="D94" s="511"/>
      <c r="E94" s="511"/>
      <c r="F94" s="511"/>
      <c r="G94" s="540"/>
      <c r="H94" s="540"/>
      <c r="I94" s="540"/>
      <c r="J94" s="540"/>
      <c r="K94" s="541"/>
      <c r="L94" s="542"/>
      <c r="M94" s="543"/>
      <c r="N94" s="2952"/>
      <c r="O94" s="2952"/>
      <c r="P94" s="2943"/>
      <c r="Q94" s="2938"/>
      <c r="R94" s="2924"/>
      <c r="S94" s="2924"/>
      <c r="T94" s="2924"/>
      <c r="U94" s="2924"/>
      <c r="V94" s="2924"/>
      <c r="W94" s="2924"/>
      <c r="X94" s="2924"/>
      <c r="Y94" s="2924"/>
      <c r="Z94" s="2924"/>
      <c r="AA94" s="2924"/>
      <c r="AB94" s="2924"/>
      <c r="AC94" s="2924"/>
    </row>
    <row r="95" spans="1:29" ht="15.75" thickBot="1">
      <c r="A95" s="491"/>
      <c r="B95" s="500"/>
      <c r="C95" s="517"/>
      <c r="D95" s="493"/>
      <c r="E95" s="493"/>
      <c r="F95" s="493"/>
      <c r="G95" s="493"/>
      <c r="H95" s="493"/>
      <c r="I95" s="493"/>
      <c r="J95" s="493"/>
      <c r="K95" s="493"/>
      <c r="L95" s="493"/>
      <c r="M95" s="494"/>
      <c r="N95" s="2953"/>
      <c r="O95" s="2953"/>
      <c r="P95" s="2943"/>
      <c r="Q95" s="2938"/>
      <c r="R95" s="2924"/>
      <c r="S95" s="2924"/>
      <c r="T95" s="2924"/>
      <c r="U95" s="2924"/>
      <c r="V95" s="2924"/>
      <c r="W95" s="2924"/>
      <c r="X95" s="2924"/>
      <c r="Y95" s="2924"/>
      <c r="Z95" s="2924"/>
      <c r="AA95" s="2924"/>
      <c r="AB95" s="2924"/>
      <c r="AC95" s="2924"/>
    </row>
    <row r="96" spans="1:29" ht="15.75" thickTop="1">
      <c r="A96" s="491"/>
      <c r="B96" s="495">
        <f>B30</f>
        <v>111</v>
      </c>
      <c r="C96" s="511"/>
      <c r="D96" s="511"/>
      <c r="E96" s="511"/>
      <c r="F96" s="511"/>
      <c r="G96" s="540"/>
      <c r="H96" s="540"/>
      <c r="I96" s="540"/>
      <c r="J96" s="540"/>
      <c r="K96" s="541"/>
      <c r="L96" s="542"/>
      <c r="M96" s="543"/>
      <c r="N96" s="2952"/>
      <c r="O96" s="2952"/>
      <c r="P96" s="2943"/>
      <c r="Q96" s="2938"/>
      <c r="R96" s="2924"/>
      <c r="S96" s="2924"/>
      <c r="T96" s="2924"/>
      <c r="U96" s="2924"/>
      <c r="V96" s="2924"/>
      <c r="W96" s="2924"/>
      <c r="X96" s="2924"/>
      <c r="Y96" s="2924"/>
      <c r="Z96" s="2924"/>
      <c r="AA96" s="2924"/>
      <c r="AB96" s="2924"/>
      <c r="AC96" s="2924"/>
    </row>
    <row r="97" spans="1:29" ht="15.75" thickBot="1">
      <c r="A97" s="491"/>
      <c r="B97" s="500"/>
      <c r="C97" s="517"/>
      <c r="D97" s="493"/>
      <c r="E97" s="493"/>
      <c r="F97" s="493"/>
      <c r="G97" s="493"/>
      <c r="H97" s="493"/>
      <c r="I97" s="493"/>
      <c r="J97" s="493"/>
      <c r="K97" s="493"/>
      <c r="L97" s="493"/>
      <c r="M97" s="494"/>
      <c r="N97" s="2953"/>
      <c r="O97" s="2953"/>
      <c r="P97" s="2943"/>
      <c r="Q97" s="2938"/>
      <c r="R97" s="2924"/>
      <c r="S97" s="2924"/>
      <c r="T97" s="2924"/>
      <c r="U97" s="2924"/>
      <c r="V97" s="2924"/>
      <c r="W97" s="2924"/>
      <c r="X97" s="2924"/>
      <c r="Y97" s="2924"/>
      <c r="Z97" s="2924"/>
      <c r="AA97" s="2924"/>
      <c r="AB97" s="2924"/>
      <c r="AC97" s="2924"/>
    </row>
    <row r="98" spans="1:29" ht="15.75" thickTop="1">
      <c r="A98" s="491"/>
      <c r="B98" s="503">
        <f>B31</f>
        <v>111</v>
      </c>
      <c r="C98" s="511"/>
      <c r="D98" s="511"/>
      <c r="E98" s="511"/>
      <c r="F98" s="511"/>
      <c r="G98" s="544"/>
      <c r="H98" s="544"/>
      <c r="I98" s="544"/>
      <c r="J98" s="544"/>
      <c r="K98" s="545"/>
      <c r="L98" s="546"/>
      <c r="M98" s="547"/>
      <c r="N98" s="2952"/>
      <c r="O98" s="2952"/>
      <c r="P98" s="2943"/>
      <c r="Q98" s="2938"/>
      <c r="R98" s="2924"/>
      <c r="S98" s="2924"/>
      <c r="T98" s="2924"/>
      <c r="U98" s="2924"/>
      <c r="V98" s="2924"/>
      <c r="W98" s="2924"/>
      <c r="X98" s="2924"/>
      <c r="Y98" s="2924"/>
      <c r="Z98" s="2924"/>
      <c r="AA98" s="2924"/>
      <c r="AB98" s="2924"/>
      <c r="AC98" s="2924"/>
    </row>
    <row r="99" spans="1:29" ht="15.75" thickBot="1">
      <c r="A99" s="2084"/>
      <c r="B99" s="526"/>
      <c r="C99" s="527"/>
      <c r="D99" s="527"/>
      <c r="E99" s="527"/>
      <c r="F99" s="527"/>
      <c r="G99" s="548"/>
      <c r="H99" s="548"/>
      <c r="I99" s="548"/>
      <c r="J99" s="548"/>
      <c r="K99" s="548"/>
      <c r="L99" s="548"/>
      <c r="M99" s="549"/>
      <c r="N99" s="2953"/>
      <c r="O99" s="2953"/>
      <c r="P99" s="2943"/>
      <c r="Q99" s="2938"/>
      <c r="R99" s="2924"/>
      <c r="S99" s="2924"/>
      <c r="T99" s="2924"/>
      <c r="U99" s="2924"/>
      <c r="V99" s="2924"/>
      <c r="W99" s="2924"/>
      <c r="X99" s="2924"/>
      <c r="Y99" s="2924"/>
      <c r="Z99" s="2924"/>
      <c r="AA99" s="2924"/>
      <c r="AB99" s="2924"/>
      <c r="AC99" s="2924"/>
    </row>
    <row r="100" spans="1:29">
      <c r="A100" s="484" t="s">
        <v>2324</v>
      </c>
      <c r="B100" s="485" t="s">
        <v>2442</v>
      </c>
      <c r="C100" s="487"/>
      <c r="D100" s="487"/>
      <c r="E100" s="487"/>
      <c r="F100" s="487"/>
      <c r="G100" s="487"/>
      <c r="H100" s="487"/>
      <c r="I100" s="487"/>
      <c r="J100" s="487"/>
      <c r="K100" s="488"/>
      <c r="L100" s="489"/>
      <c r="M100" s="490"/>
      <c r="N100" s="2952"/>
      <c r="O100" s="2952"/>
      <c r="P100" s="2943"/>
      <c r="Q100" s="2938"/>
      <c r="R100" s="2924"/>
      <c r="S100" s="2924"/>
      <c r="T100" s="2924"/>
      <c r="U100" s="2924"/>
      <c r="V100" s="2924"/>
      <c r="W100" s="2924"/>
      <c r="X100" s="2924"/>
      <c r="Y100" s="2924"/>
      <c r="Z100" s="2924"/>
      <c r="AA100" s="2924"/>
      <c r="AB100" s="2924"/>
      <c r="AC100" s="292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3"/>
      <c r="O101" s="2953"/>
      <c r="P101" s="2943"/>
      <c r="Q101" s="2938"/>
      <c r="R101" s="2924"/>
      <c r="S101" s="2924"/>
      <c r="T101" s="2924"/>
      <c r="U101" s="2924"/>
      <c r="V101" s="2924"/>
      <c r="W101" s="2924"/>
      <c r="X101" s="2924"/>
      <c r="Y101" s="2924"/>
      <c r="Z101" s="2924"/>
      <c r="AA101" s="2924"/>
      <c r="AB101" s="2924"/>
      <c r="AC101" s="2924"/>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1"/>
      <c r="O102" s="2951"/>
      <c r="P102" s="2943"/>
      <c r="Q102" s="2938"/>
      <c r="R102" s="2924"/>
      <c r="S102" s="2924"/>
      <c r="T102" s="2924"/>
      <c r="U102" s="2924"/>
      <c r="V102" s="2924"/>
      <c r="W102" s="2924"/>
      <c r="X102" s="2924"/>
      <c r="Y102" s="2924"/>
      <c r="Z102" s="2924"/>
      <c r="AA102" s="2924"/>
      <c r="AB102" s="2924"/>
      <c r="AC102" s="2924"/>
    </row>
    <row r="103" spans="1:29" s="430" customFormat="1">
      <c r="A103" s="550"/>
      <c r="B103" s="551"/>
      <c r="C103" s="552"/>
      <c r="D103" s="552"/>
      <c r="E103" s="552"/>
      <c r="F103" s="552"/>
      <c r="G103" s="552"/>
      <c r="H103" s="552"/>
      <c r="I103" s="552"/>
      <c r="J103" s="553"/>
      <c r="K103" s="553"/>
      <c r="L103" s="554"/>
      <c r="M103" s="555"/>
      <c r="N103" s="2954"/>
      <c r="O103" s="2954"/>
      <c r="P103" s="2944"/>
      <c r="Q103" s="2945"/>
      <c r="R103" s="2946"/>
      <c r="S103" s="2946"/>
      <c r="T103" s="2946"/>
      <c r="U103" s="2946"/>
      <c r="V103" s="2946"/>
      <c r="W103" s="2946"/>
      <c r="X103" s="2946"/>
      <c r="Y103" s="2946"/>
      <c r="Z103" s="2946"/>
      <c r="AA103" s="2946"/>
      <c r="AB103" s="2946"/>
      <c r="AC103" s="2946"/>
    </row>
    <row r="104" spans="1:29" s="430" customFormat="1" ht="15.75" thickBot="1">
      <c r="A104" s="510"/>
      <c r="B104" s="500"/>
      <c r="C104" s="517"/>
      <c r="D104" s="493"/>
      <c r="E104" s="493"/>
      <c r="F104" s="493"/>
      <c r="G104" s="493"/>
      <c r="H104" s="493"/>
      <c r="I104" s="493"/>
      <c r="J104" s="493"/>
      <c r="K104" s="493"/>
      <c r="L104" s="493"/>
      <c r="M104" s="494"/>
      <c r="N104" s="2953"/>
      <c r="O104" s="2953"/>
      <c r="P104" s="2944"/>
      <c r="Q104" s="2945"/>
      <c r="R104" s="2946"/>
      <c r="S104" s="2946"/>
      <c r="T104" s="2946"/>
      <c r="U104" s="2946"/>
      <c r="V104" s="2946"/>
      <c r="W104" s="2946"/>
      <c r="X104" s="2946"/>
      <c r="Y104" s="2946"/>
      <c r="Z104" s="2946"/>
      <c r="AA104" s="2946"/>
      <c r="AB104" s="2946"/>
      <c r="AC104" s="2946"/>
    </row>
    <row r="105" spans="1:29" ht="15" thickTop="1">
      <c r="A105" s="556"/>
      <c r="B105" s="495" t="s">
        <v>2375</v>
      </c>
      <c r="C105" s="511"/>
      <c r="D105" s="511"/>
      <c r="E105" s="540"/>
      <c r="F105" s="540"/>
      <c r="G105" s="540"/>
      <c r="H105" s="540"/>
      <c r="I105" s="540"/>
      <c r="J105" s="540"/>
      <c r="K105" s="541"/>
      <c r="L105" s="542"/>
      <c r="M105" s="543"/>
      <c r="N105" s="2952"/>
      <c r="O105" s="2952"/>
      <c r="P105" s="2943"/>
      <c r="Q105" s="2938"/>
      <c r="R105" s="2924"/>
      <c r="S105" s="2924"/>
      <c r="T105" s="2924"/>
      <c r="U105" s="2924"/>
      <c r="V105" s="2924"/>
      <c r="W105" s="2924"/>
      <c r="X105" s="2924"/>
      <c r="Y105" s="2924"/>
      <c r="Z105" s="2924"/>
      <c r="AA105" s="2924"/>
      <c r="AB105" s="2924"/>
      <c r="AC105" s="292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3"/>
      <c r="O106" s="2953"/>
      <c r="P106" s="2943"/>
      <c r="Q106" s="2938"/>
      <c r="R106" s="2924"/>
      <c r="S106" s="2924"/>
      <c r="T106" s="2924"/>
      <c r="U106" s="2924"/>
      <c r="V106" s="2924"/>
      <c r="W106" s="2924"/>
      <c r="X106" s="2924"/>
      <c r="Y106" s="2924"/>
      <c r="Z106" s="2924"/>
      <c r="AA106" s="2924"/>
      <c r="AB106" s="2924"/>
      <c r="AC106" s="2924"/>
    </row>
    <row r="107" spans="1:29" ht="15" thickTop="1">
      <c r="A107" s="556"/>
      <c r="B107" s="495" t="s">
        <v>2377</v>
      </c>
      <c r="C107" s="511"/>
      <c r="D107" s="511"/>
      <c r="E107" s="511"/>
      <c r="F107" s="540"/>
      <c r="G107" s="540"/>
      <c r="H107" s="540"/>
      <c r="I107" s="540"/>
      <c r="J107" s="540"/>
      <c r="K107" s="541"/>
      <c r="L107" s="542"/>
      <c r="M107" s="543"/>
      <c r="N107" s="2952"/>
      <c r="O107" s="2952"/>
      <c r="P107" s="2943"/>
      <c r="Q107" s="2938"/>
      <c r="R107" s="2924"/>
      <c r="S107" s="2924"/>
      <c r="T107" s="2924"/>
      <c r="U107" s="2924"/>
      <c r="V107" s="2924"/>
      <c r="W107" s="2924"/>
      <c r="X107" s="2924"/>
      <c r="Y107" s="2924"/>
      <c r="Z107" s="2924"/>
      <c r="AA107" s="2924"/>
      <c r="AB107" s="2924"/>
      <c r="AC107" s="292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3"/>
      <c r="O108" s="2953"/>
      <c r="P108" s="2943"/>
      <c r="Q108" s="2938"/>
      <c r="R108" s="2924"/>
      <c r="S108" s="2924"/>
      <c r="T108" s="2924"/>
      <c r="U108" s="2924"/>
      <c r="V108" s="2924"/>
      <c r="W108" s="2924"/>
      <c r="X108" s="2924"/>
      <c r="Y108" s="2924"/>
      <c r="Z108" s="2924"/>
      <c r="AA108" s="2924"/>
      <c r="AB108" s="2924"/>
      <c r="AC108" s="2924"/>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2"/>
      <c r="O109" s="2952"/>
      <c r="P109" s="2943"/>
      <c r="Q109" s="2938"/>
      <c r="R109" s="2924"/>
      <c r="S109" s="2924"/>
      <c r="T109" s="2924"/>
      <c r="U109" s="2924"/>
      <c r="V109" s="2924"/>
      <c r="W109" s="2924"/>
      <c r="X109" s="2924"/>
      <c r="Y109" s="2924"/>
      <c r="Z109" s="2924"/>
      <c r="AA109" s="2924"/>
      <c r="AB109" s="2924"/>
      <c r="AC109" s="2924"/>
    </row>
    <row r="110" spans="1:29">
      <c r="A110" s="556"/>
      <c r="B110" s="503"/>
      <c r="C110" s="560">
        <v>0.5</v>
      </c>
      <c r="D110" s="560">
        <v>0.6</v>
      </c>
      <c r="E110" s="560">
        <v>0.7</v>
      </c>
      <c r="F110" s="560">
        <v>0.8</v>
      </c>
      <c r="G110" s="560">
        <v>0.9</v>
      </c>
      <c r="H110" s="560">
        <v>1.0001</v>
      </c>
      <c r="I110" s="579"/>
      <c r="J110" s="579"/>
      <c r="K110" s="580"/>
      <c r="L110" s="581"/>
      <c r="M110" s="582"/>
      <c r="N110" s="2952"/>
      <c r="O110" s="2952"/>
      <c r="P110" s="2943"/>
      <c r="Q110" s="2938"/>
      <c r="R110" s="2924"/>
      <c r="S110" s="2924"/>
      <c r="T110" s="2924"/>
      <c r="U110" s="2924"/>
      <c r="V110" s="2924"/>
      <c r="W110" s="2924"/>
      <c r="X110" s="2924"/>
      <c r="Y110" s="2924"/>
      <c r="Z110" s="2924"/>
      <c r="AA110" s="2924"/>
      <c r="AB110" s="2924"/>
      <c r="AC110" s="292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3"/>
      <c r="O111" s="2953"/>
      <c r="P111" s="2943"/>
      <c r="Q111" s="2938"/>
      <c r="R111" s="2924"/>
      <c r="S111" s="2924"/>
      <c r="T111" s="2924"/>
      <c r="U111" s="2924"/>
      <c r="V111" s="2924"/>
      <c r="W111" s="2924"/>
      <c r="X111" s="2924"/>
      <c r="Y111" s="2924"/>
      <c r="Z111" s="2924"/>
      <c r="AA111" s="2924"/>
      <c r="AB111" s="2924"/>
      <c r="AC111" s="2924"/>
    </row>
    <row r="112" spans="1:29" s="430" customFormat="1" ht="15" thickTop="1">
      <c r="A112" s="550"/>
      <c r="B112" s="495" t="s">
        <v>2379</v>
      </c>
      <c r="C112" s="511"/>
      <c r="D112" s="511"/>
      <c r="E112" s="511"/>
      <c r="F112" s="511"/>
      <c r="G112" s="511"/>
      <c r="H112" s="540"/>
      <c r="I112" s="540"/>
      <c r="J112" s="540"/>
      <c r="K112" s="541"/>
      <c r="L112" s="542"/>
      <c r="M112" s="543"/>
      <c r="N112" s="2954"/>
      <c r="O112" s="2954"/>
      <c r="P112" s="2944"/>
      <c r="Q112" s="2945"/>
      <c r="R112" s="2946"/>
      <c r="S112" s="2946"/>
      <c r="T112" s="2946"/>
      <c r="U112" s="2946"/>
      <c r="V112" s="2946"/>
      <c r="W112" s="2946"/>
      <c r="X112" s="2946"/>
      <c r="Y112" s="2946"/>
      <c r="Z112" s="2946"/>
      <c r="AA112" s="2946"/>
      <c r="AB112" s="2946"/>
      <c r="AC112" s="294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4"/>
      <c r="O113" s="2954"/>
      <c r="P113" s="2944"/>
      <c r="Q113" s="2945"/>
      <c r="R113" s="2946"/>
      <c r="S113" s="2946"/>
      <c r="T113" s="2946"/>
      <c r="U113" s="2946"/>
      <c r="V113" s="2946"/>
      <c r="W113" s="2946"/>
      <c r="X113" s="2946"/>
      <c r="Y113" s="2946"/>
      <c r="Z113" s="2946"/>
      <c r="AA113" s="2946"/>
      <c r="AB113" s="2946"/>
      <c r="AC113" s="2946"/>
    </row>
    <row r="114" spans="1:29" ht="15" thickTop="1">
      <c r="A114" s="556"/>
      <c r="B114" s="495" t="s">
        <v>2443</v>
      </c>
      <c r="C114" s="511"/>
      <c r="D114" s="511"/>
      <c r="E114" s="540"/>
      <c r="F114" s="540"/>
      <c r="G114" s="540"/>
      <c r="H114" s="540"/>
      <c r="I114" s="540"/>
      <c r="J114" s="540"/>
      <c r="K114" s="541"/>
      <c r="L114" s="542"/>
      <c r="M114" s="543"/>
      <c r="N114" s="2952"/>
      <c r="O114" s="2952"/>
      <c r="P114" s="2943"/>
      <c r="Q114" s="2938"/>
      <c r="R114" s="2924"/>
      <c r="S114" s="2924"/>
      <c r="T114" s="2924"/>
      <c r="U114" s="2924"/>
      <c r="V114" s="2924"/>
      <c r="W114" s="2924"/>
      <c r="X114" s="2924"/>
      <c r="Y114" s="2924"/>
      <c r="Z114" s="2924"/>
      <c r="AA114" s="2924"/>
      <c r="AB114" s="2924"/>
      <c r="AC114" s="292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43"/>
      <c r="Q115" s="2938"/>
      <c r="R115" s="2924"/>
      <c r="S115" s="2924"/>
      <c r="T115" s="2924"/>
      <c r="U115" s="2924"/>
      <c r="V115" s="2924"/>
      <c r="W115" s="2924"/>
      <c r="X115" s="2924"/>
      <c r="Y115" s="2924"/>
      <c r="Z115" s="2924"/>
      <c r="AA115" s="2924"/>
      <c r="AB115" s="2924"/>
      <c r="AC115" s="2924"/>
    </row>
    <row r="116" spans="1:29" ht="15" thickTop="1">
      <c r="A116" s="556"/>
      <c r="B116" s="495" t="s">
        <v>2444</v>
      </c>
      <c r="C116" s="511"/>
      <c r="D116" s="511"/>
      <c r="E116" s="511"/>
      <c r="F116" s="511"/>
      <c r="G116" s="511"/>
      <c r="H116" s="540"/>
      <c r="I116" s="540"/>
      <c r="J116" s="540"/>
      <c r="K116" s="541"/>
      <c r="L116" s="542"/>
      <c r="M116" s="543"/>
      <c r="N116" s="2952"/>
      <c r="O116" s="2952"/>
      <c r="P116" s="2943"/>
      <c r="Q116" s="2938"/>
      <c r="R116" s="2924"/>
      <c r="S116" s="2924"/>
      <c r="T116" s="2924"/>
      <c r="U116" s="2924"/>
      <c r="V116" s="2924"/>
      <c r="W116" s="2924"/>
      <c r="X116" s="2924"/>
      <c r="Y116" s="2924"/>
      <c r="Z116" s="2924"/>
      <c r="AA116" s="2924"/>
      <c r="AB116" s="2924"/>
      <c r="AC116" s="292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3"/>
      <c r="O117" s="2953"/>
      <c r="P117" s="2943"/>
      <c r="Q117" s="2938"/>
      <c r="R117" s="2924"/>
      <c r="S117" s="2924"/>
      <c r="T117" s="2924"/>
      <c r="U117" s="2924"/>
      <c r="V117" s="2924"/>
      <c r="W117" s="2924"/>
      <c r="X117" s="2924"/>
      <c r="Y117" s="2924"/>
      <c r="Z117" s="2924"/>
      <c r="AA117" s="2924"/>
      <c r="AB117" s="2924"/>
      <c r="AC117" s="2924"/>
    </row>
    <row r="118" spans="1:29" ht="15" thickTop="1">
      <c r="A118" s="556"/>
      <c r="B118" s="495" t="s">
        <v>2445</v>
      </c>
      <c r="C118" s="583"/>
      <c r="D118" s="583"/>
      <c r="E118" s="583"/>
      <c r="F118" s="583"/>
      <c r="G118" s="583"/>
      <c r="H118" s="512"/>
      <c r="I118" s="512"/>
      <c r="J118" s="512"/>
      <c r="K118" s="512"/>
      <c r="L118" s="513"/>
      <c r="M118" s="514"/>
      <c r="N118" s="2952"/>
      <c r="O118" s="2952"/>
      <c r="P118" s="2943"/>
      <c r="Q118" s="2938"/>
      <c r="R118" s="2924"/>
      <c r="S118" s="2924"/>
      <c r="T118" s="2924"/>
      <c r="U118" s="2924"/>
      <c r="V118" s="2924"/>
      <c r="W118" s="2924"/>
      <c r="X118" s="2924"/>
      <c r="Y118" s="2924"/>
      <c r="Z118" s="2924"/>
      <c r="AA118" s="2924"/>
      <c r="AB118" s="2924"/>
      <c r="AC118" s="2924"/>
    </row>
    <row r="119" spans="1:29" ht="15.75" thickBot="1">
      <c r="A119" s="491"/>
      <c r="B119" s="500"/>
      <c r="C119" s="517"/>
      <c r="D119" s="493"/>
      <c r="E119" s="493"/>
      <c r="F119" s="493"/>
      <c r="G119" s="493"/>
      <c r="H119" s="493"/>
      <c r="I119" s="493"/>
      <c r="J119" s="493"/>
      <c r="K119" s="493"/>
      <c r="L119" s="493"/>
      <c r="M119" s="494"/>
      <c r="N119" s="2953"/>
      <c r="O119" s="2953"/>
      <c r="P119" s="2943"/>
      <c r="Q119" s="2938"/>
      <c r="R119" s="2924"/>
      <c r="S119" s="2924"/>
      <c r="T119" s="2924"/>
      <c r="U119" s="2924"/>
      <c r="V119" s="2924"/>
      <c r="W119" s="2924"/>
      <c r="X119" s="2924"/>
      <c r="Y119" s="2924"/>
      <c r="Z119" s="2924"/>
      <c r="AA119" s="2924"/>
      <c r="AB119" s="2924"/>
      <c r="AC119" s="2924"/>
    </row>
    <row r="120" spans="1:29" s="430" customFormat="1" ht="15" thickTop="1">
      <c r="A120" s="550"/>
      <c r="B120" s="495" t="s">
        <v>2446</v>
      </c>
      <c r="C120" s="540"/>
      <c r="D120" s="540"/>
      <c r="E120" s="540"/>
      <c r="F120" s="540"/>
      <c r="G120" s="512"/>
      <c r="H120" s="512"/>
      <c r="I120" s="512"/>
      <c r="J120" s="512"/>
      <c r="K120" s="512"/>
      <c r="L120" s="513"/>
      <c r="M120" s="514"/>
      <c r="N120" s="2954"/>
      <c r="O120" s="2954"/>
      <c r="P120" s="2944"/>
      <c r="Q120" s="2945"/>
      <c r="R120" s="2946"/>
      <c r="S120" s="2946"/>
      <c r="T120" s="2946"/>
      <c r="U120" s="2946"/>
      <c r="V120" s="2946"/>
      <c r="W120" s="2946"/>
      <c r="X120" s="2946"/>
      <c r="Y120" s="2946"/>
      <c r="Z120" s="2946"/>
      <c r="AA120" s="2946"/>
      <c r="AB120" s="2946"/>
      <c r="AC120" s="294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4"/>
      <c r="O121" s="2954"/>
      <c r="P121" s="2944"/>
      <c r="Q121" s="2945"/>
      <c r="R121" s="2946"/>
      <c r="S121" s="2946"/>
      <c r="T121" s="2946"/>
      <c r="U121" s="2946"/>
      <c r="V121" s="2946"/>
      <c r="W121" s="2946"/>
      <c r="X121" s="2946"/>
      <c r="Y121" s="2946"/>
      <c r="Z121" s="2946"/>
      <c r="AA121" s="2946"/>
      <c r="AB121" s="2946"/>
      <c r="AC121" s="2946"/>
    </row>
    <row r="122" spans="1:29" ht="15" thickTop="1">
      <c r="A122" s="556"/>
      <c r="B122" s="495" t="s">
        <v>2381</v>
      </c>
      <c r="C122" s="511"/>
      <c r="D122" s="511"/>
      <c r="E122" s="511"/>
      <c r="F122" s="540"/>
      <c r="G122" s="540"/>
      <c r="H122" s="540"/>
      <c r="I122" s="540"/>
      <c r="J122" s="540"/>
      <c r="K122" s="541"/>
      <c r="L122" s="542"/>
      <c r="M122" s="543"/>
      <c r="N122" s="2952"/>
      <c r="O122" s="2952"/>
      <c r="P122" s="2943"/>
      <c r="Q122" s="2938"/>
      <c r="R122" s="2924"/>
      <c r="S122" s="2924"/>
      <c r="T122" s="2924"/>
      <c r="U122" s="2924"/>
      <c r="V122" s="2924"/>
      <c r="W122" s="2924"/>
      <c r="X122" s="2924"/>
      <c r="Y122" s="2924"/>
      <c r="Z122" s="2924"/>
      <c r="AA122" s="2924"/>
      <c r="AB122" s="2924"/>
      <c r="AC122" s="292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3"/>
      <c r="O123" s="2953"/>
      <c r="P123" s="2943"/>
      <c r="Q123" s="2938"/>
      <c r="R123" s="2924"/>
      <c r="S123" s="2924"/>
      <c r="T123" s="2924"/>
      <c r="U123" s="2924"/>
      <c r="V123" s="2924"/>
      <c r="W123" s="2924"/>
      <c r="X123" s="2924"/>
      <c r="Y123" s="2924"/>
      <c r="Z123" s="2924"/>
      <c r="AA123" s="2924"/>
      <c r="AB123" s="2924"/>
      <c r="AC123" s="2924"/>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2"/>
      <c r="O124" s="2952"/>
      <c r="P124" s="2944"/>
      <c r="Q124" s="2938"/>
      <c r="R124" s="2924"/>
      <c r="S124" s="2924"/>
      <c r="T124" s="2924"/>
      <c r="U124" s="2924"/>
      <c r="V124" s="2924"/>
      <c r="W124" s="2924"/>
      <c r="X124" s="2924"/>
      <c r="Y124" s="2924"/>
      <c r="Z124" s="2924"/>
      <c r="AA124" s="2924"/>
      <c r="AB124" s="2924"/>
      <c r="AC124" s="292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3"/>
      <c r="O125" s="2953"/>
      <c r="P125" s="2943"/>
      <c r="Q125" s="2938"/>
      <c r="R125" s="2924"/>
      <c r="S125" s="2924"/>
      <c r="T125" s="2924"/>
      <c r="U125" s="2924"/>
      <c r="V125" s="2924"/>
      <c r="W125" s="2924"/>
      <c r="X125" s="2924"/>
      <c r="Y125" s="2924"/>
      <c r="Z125" s="2924"/>
      <c r="AA125" s="2924"/>
      <c r="AB125" s="2924"/>
      <c r="AC125" s="2924"/>
    </row>
    <row r="126" spans="1:29" s="430" customFormat="1" ht="15" thickTop="1">
      <c r="A126" s="550"/>
      <c r="B126" s="495">
        <f>B44</f>
        <v>111</v>
      </c>
      <c r="C126" s="511"/>
      <c r="D126" s="511"/>
      <c r="E126" s="511"/>
      <c r="F126" s="511"/>
      <c r="G126" s="511"/>
      <c r="H126" s="512"/>
      <c r="I126" s="512"/>
      <c r="J126" s="512"/>
      <c r="K126" s="512"/>
      <c r="L126" s="513"/>
      <c r="M126" s="514"/>
      <c r="N126" s="2954"/>
      <c r="O126" s="2954"/>
      <c r="P126" s="2944"/>
      <c r="Q126" s="2945"/>
      <c r="R126" s="2946"/>
      <c r="S126" s="2946"/>
      <c r="T126" s="2946"/>
      <c r="U126" s="2946"/>
      <c r="V126" s="2946"/>
      <c r="W126" s="2946"/>
      <c r="X126" s="2946"/>
      <c r="Y126" s="2946"/>
      <c r="Z126" s="2946"/>
      <c r="AA126" s="2946"/>
      <c r="AB126" s="2946"/>
      <c r="AC126" s="2946"/>
    </row>
    <row r="127" spans="1:29" s="430" customFormat="1" ht="15.75" thickBot="1">
      <c r="A127" s="510"/>
      <c r="B127" s="500"/>
      <c r="C127" s="517"/>
      <c r="D127" s="493"/>
      <c r="E127" s="493"/>
      <c r="F127" s="493"/>
      <c r="G127" s="517"/>
      <c r="H127" s="519"/>
      <c r="I127" s="519"/>
      <c r="J127" s="519"/>
      <c r="K127" s="519"/>
      <c r="L127" s="519"/>
      <c r="M127" s="520"/>
      <c r="N127" s="2954"/>
      <c r="O127" s="2954"/>
      <c r="P127" s="2944"/>
      <c r="Q127" s="2945"/>
      <c r="R127" s="2946"/>
      <c r="S127" s="2946"/>
      <c r="T127" s="2946"/>
      <c r="U127" s="2946"/>
      <c r="V127" s="2946"/>
      <c r="W127" s="2946"/>
      <c r="X127" s="2946"/>
      <c r="Y127" s="2946"/>
      <c r="Z127" s="2946"/>
      <c r="AA127" s="2946"/>
      <c r="AB127" s="2946"/>
      <c r="AC127" s="2946"/>
    </row>
    <row r="128" spans="1:29" ht="15" thickTop="1">
      <c r="A128" s="556"/>
      <c r="B128" s="495">
        <f>B45</f>
        <v>111</v>
      </c>
      <c r="C128" s="511"/>
      <c r="D128" s="511"/>
      <c r="E128" s="511"/>
      <c r="F128" s="511"/>
      <c r="G128" s="540"/>
      <c r="H128" s="540"/>
      <c r="I128" s="540"/>
      <c r="J128" s="540"/>
      <c r="K128" s="541"/>
      <c r="L128" s="542"/>
      <c r="M128" s="543"/>
      <c r="N128" s="2952"/>
      <c r="O128" s="2952"/>
      <c r="P128" s="2943"/>
      <c r="Q128" s="2938"/>
      <c r="R128" s="2924"/>
      <c r="S128" s="2924"/>
      <c r="T128" s="2924"/>
      <c r="U128" s="2924"/>
      <c r="V128" s="2924"/>
      <c r="W128" s="2924"/>
      <c r="X128" s="2924"/>
      <c r="Y128" s="2924"/>
      <c r="Z128" s="2924"/>
      <c r="AA128" s="2924"/>
      <c r="AB128" s="2924"/>
      <c r="AC128" s="2924"/>
    </row>
    <row r="129" spans="1:29" ht="15.75" thickBot="1">
      <c r="A129" s="491"/>
      <c r="B129" s="500"/>
      <c r="C129" s="517"/>
      <c r="D129" s="493"/>
      <c r="E129" s="493"/>
      <c r="F129" s="493"/>
      <c r="G129" s="493"/>
      <c r="H129" s="493"/>
      <c r="I129" s="493"/>
      <c r="J129" s="493"/>
      <c r="K129" s="493"/>
      <c r="L129" s="493"/>
      <c r="M129" s="494"/>
      <c r="N129" s="2953"/>
      <c r="O129" s="2953"/>
      <c r="P129" s="2943"/>
      <c r="Q129" s="2938"/>
      <c r="R129" s="2924"/>
      <c r="S129" s="2924"/>
      <c r="T129" s="2924"/>
      <c r="U129" s="2924"/>
      <c r="V129" s="2924"/>
      <c r="W129" s="2924"/>
      <c r="X129" s="2924"/>
      <c r="Y129" s="2924"/>
      <c r="Z129" s="2924"/>
      <c r="AA129" s="2924"/>
      <c r="AB129" s="2924"/>
      <c r="AC129" s="2924"/>
    </row>
    <row r="130" spans="1:29" ht="15" thickTop="1">
      <c r="A130" s="556"/>
      <c r="B130" s="503">
        <f>B46</f>
        <v>111</v>
      </c>
      <c r="C130" s="511"/>
      <c r="D130" s="511"/>
      <c r="E130" s="511"/>
      <c r="F130" s="511"/>
      <c r="G130" s="544"/>
      <c r="H130" s="544"/>
      <c r="I130" s="544"/>
      <c r="J130" s="544"/>
      <c r="K130" s="480"/>
      <c r="L130" s="481"/>
      <c r="M130" s="547"/>
      <c r="N130" s="2952"/>
      <c r="O130" s="2952"/>
      <c r="P130" s="2943"/>
      <c r="Q130" s="2938"/>
      <c r="R130" s="2924"/>
      <c r="S130" s="2924"/>
      <c r="T130" s="2924"/>
      <c r="U130" s="2924"/>
      <c r="V130" s="2924"/>
      <c r="W130" s="2924"/>
      <c r="X130" s="2924"/>
      <c r="Y130" s="2924"/>
      <c r="Z130" s="2924"/>
      <c r="AA130" s="2924"/>
      <c r="AB130" s="2924"/>
      <c r="AC130" s="2924"/>
    </row>
    <row r="131" spans="1:29" ht="15.75" thickBot="1">
      <c r="A131" s="2084"/>
      <c r="B131" s="526"/>
      <c r="C131" s="527"/>
      <c r="D131" s="527"/>
      <c r="E131" s="527"/>
      <c r="F131" s="527"/>
      <c r="G131" s="548"/>
      <c r="H131" s="548"/>
      <c r="I131" s="548"/>
      <c r="J131" s="548"/>
      <c r="K131" s="548"/>
      <c r="L131" s="548"/>
      <c r="M131" s="549"/>
      <c r="N131" s="2953"/>
      <c r="O131" s="2953"/>
      <c r="P131" s="2943"/>
      <c r="Q131" s="2938"/>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2447</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7"/>
      <c r="D2" s="1247" t="e">
        <f ca="1">SUMIF(INDIRECT("'"&amp;F2&amp;"'"&amp;"!A:A"),"承租人权益价值",INDIRECT("'"&amp;F2&amp;"'"&amp;"!c:c"))</f>
        <v>#REF!</v>
      </c>
      <c r="E2" s="2038" t="s">
        <v>2089</v>
      </c>
      <c r="F2" s="2039"/>
      <c r="G2" s="1039"/>
      <c r="H2" s="1039"/>
      <c r="I2" s="1039"/>
      <c r="J2" s="1039"/>
      <c r="K2" s="1039"/>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69898.900000000009</v>
      </c>
      <c r="E3" s="2110"/>
      <c r="F3" s="1040"/>
      <c r="G3" s="1039"/>
      <c r="H3" s="1039"/>
      <c r="I3" s="1039"/>
      <c r="J3" s="1039"/>
      <c r="K3" s="1041"/>
      <c r="L3" s="2933"/>
      <c r="M3" s="2934"/>
      <c r="N3" s="2934"/>
      <c r="O3" s="2934"/>
      <c r="P3" s="708"/>
      <c r="Q3" s="708"/>
      <c r="R3" s="708"/>
      <c r="S3" s="708"/>
      <c r="T3" s="708"/>
      <c r="U3" s="708"/>
      <c r="V3" s="708"/>
      <c r="W3" s="708"/>
      <c r="X3" s="708"/>
      <c r="Y3" s="708"/>
      <c r="Z3" s="708"/>
      <c r="AA3" s="708"/>
      <c r="AB3" s="708"/>
      <c r="AC3" s="709"/>
    </row>
    <row r="4" spans="1:29" ht="15">
      <c r="A4" s="361" t="s">
        <v>2406</v>
      </c>
      <c r="B4" s="362"/>
      <c r="C4" s="3586" t="s">
        <v>2407</v>
      </c>
      <c r="D4" s="3587"/>
      <c r="E4" s="3588" t="s">
        <v>2408</v>
      </c>
      <c r="F4" s="3589"/>
      <c r="G4" s="3586" t="s">
        <v>2409</v>
      </c>
      <c r="H4" s="3587"/>
      <c r="I4" s="3586" t="s">
        <v>2410</v>
      </c>
      <c r="J4" s="3587"/>
      <c r="K4" s="567" t="s">
        <v>2411</v>
      </c>
      <c r="L4" s="2914"/>
      <c r="M4" s="2915"/>
      <c r="N4" s="2915"/>
      <c r="O4" s="2915"/>
      <c r="P4" s="3651" t="s">
        <v>2412</v>
      </c>
      <c r="Q4" s="3652"/>
      <c r="R4" s="3646" t="s">
        <v>2408</v>
      </c>
      <c r="S4" s="3647"/>
      <c r="T4" s="3646" t="s">
        <v>2409</v>
      </c>
      <c r="U4" s="3647"/>
      <c r="V4" s="3655" t="s">
        <v>2410</v>
      </c>
      <c r="W4" s="3655"/>
      <c r="X4" s="2114"/>
      <c r="Y4" s="3646" t="s">
        <v>2412</v>
      </c>
      <c r="Z4" s="3647"/>
      <c r="AA4" s="3645" t="s">
        <v>2408</v>
      </c>
      <c r="AB4" s="3645" t="s">
        <v>2409</v>
      </c>
      <c r="AC4" s="3648" t="s">
        <v>2410</v>
      </c>
    </row>
    <row r="5" spans="1:29" ht="15">
      <c r="A5" s="364"/>
      <c r="B5" s="365"/>
      <c r="C5" s="3579" t="s">
        <v>2303</v>
      </c>
      <c r="D5" s="3580"/>
      <c r="E5" s="3577" t="s">
        <v>2304</v>
      </c>
      <c r="F5" s="3578"/>
      <c r="G5" s="3579" t="s">
        <v>2305</v>
      </c>
      <c r="H5" s="3580"/>
      <c r="I5" s="3579" t="s">
        <v>2306</v>
      </c>
      <c r="J5" s="3580"/>
      <c r="K5" s="567"/>
      <c r="L5" s="2914"/>
      <c r="M5" s="2915"/>
      <c r="N5" s="2915"/>
      <c r="O5" s="2915"/>
      <c r="P5" s="3653"/>
      <c r="Q5" s="3593"/>
      <c r="R5" s="3575"/>
      <c r="S5" s="3576"/>
      <c r="T5" s="3575"/>
      <c r="U5" s="3576"/>
      <c r="V5" s="3598"/>
      <c r="W5" s="3598"/>
      <c r="X5" s="1509"/>
      <c r="Y5" s="3575"/>
      <c r="Z5" s="3576"/>
      <c r="AA5" s="3569"/>
      <c r="AB5" s="3569"/>
      <c r="AC5" s="3649"/>
    </row>
    <row r="6" spans="1:29" ht="15.75" thickBot="1">
      <c r="A6" s="366"/>
      <c r="B6" s="367"/>
      <c r="C6" s="3581" t="s">
        <v>2307</v>
      </c>
      <c r="D6" s="3582"/>
      <c r="E6" s="3583" t="s">
        <v>2307</v>
      </c>
      <c r="F6" s="3584"/>
      <c r="G6" s="3581" t="s">
        <v>2307</v>
      </c>
      <c r="H6" s="3582"/>
      <c r="I6" s="3581" t="s">
        <v>2307</v>
      </c>
      <c r="J6" s="3582"/>
      <c r="K6" s="567" t="s">
        <v>2308</v>
      </c>
      <c r="L6" s="2914"/>
      <c r="M6" s="2915"/>
      <c r="N6" s="2915"/>
      <c r="O6" s="2915"/>
      <c r="P6" s="3654"/>
      <c r="Q6" s="3595"/>
      <c r="R6" s="3575"/>
      <c r="S6" s="3576"/>
      <c r="T6" s="3596"/>
      <c r="U6" s="3597"/>
      <c r="V6" s="3598"/>
      <c r="W6" s="3598"/>
      <c r="X6" s="1509"/>
      <c r="Y6" s="3596"/>
      <c r="Z6" s="3597"/>
      <c r="AA6" s="3570"/>
      <c r="AB6" s="3570"/>
      <c r="AC6" s="3650"/>
    </row>
    <row r="7" spans="1:29" s="113" customFormat="1" ht="15.75" thickBot="1">
      <c r="A7" s="368" t="s">
        <v>2309</v>
      </c>
      <c r="B7" s="369"/>
      <c r="C7" s="370">
        <f>'数据-取费表'!B2</f>
        <v>44543</v>
      </c>
      <c r="D7" s="371">
        <v>100</v>
      </c>
      <c r="E7" s="372"/>
      <c r="F7" s="373">
        <f>SUMIF(59:59,YEAR(E7)&amp;"-"&amp;MONTH(E7),60:60)</f>
        <v>0</v>
      </c>
      <c r="G7" s="372"/>
      <c r="H7" s="371">
        <f>SUMIF(59:59,YEAR(G7)&amp;"-"&amp;MONTH(G7),60:60)</f>
        <v>0</v>
      </c>
      <c r="I7" s="372"/>
      <c r="J7" s="371">
        <f>SUMIF(59:59,YEAR(I7)&amp;"-"&amp;MONTH(I7),60:60)</f>
        <v>0</v>
      </c>
      <c r="K7" s="568"/>
      <c r="L7" s="2916"/>
      <c r="M7" s="2917"/>
      <c r="N7" s="2917"/>
      <c r="O7" s="2917"/>
      <c r="P7" s="3656" t="s">
        <v>2310</v>
      </c>
      <c r="Q7" s="3599"/>
      <c r="R7" s="710" t="s">
        <v>17</v>
      </c>
      <c r="S7" s="711">
        <f t="shared" ref="S7:S15" si="0">F7</f>
        <v>0</v>
      </c>
      <c r="T7" s="710" t="s">
        <v>17</v>
      </c>
      <c r="U7" s="711">
        <f t="shared" ref="U7:U15" si="1">H7</f>
        <v>0</v>
      </c>
      <c r="V7" s="710" t="s">
        <v>17</v>
      </c>
      <c r="W7" s="711">
        <f t="shared" ref="W7:W15" si="2">J7</f>
        <v>0</v>
      </c>
      <c r="X7" s="712"/>
      <c r="Y7" s="3571" t="s">
        <v>2310</v>
      </c>
      <c r="Z7" s="3572"/>
      <c r="AA7" s="713" t="e">
        <f>D7/F7</f>
        <v>#DIV/0!</v>
      </c>
      <c r="AB7" s="713" t="e">
        <f>D7/H7</f>
        <v>#DIV/0!</v>
      </c>
      <c r="AC7" s="2115"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6"/>
      <c r="M8" s="2917"/>
      <c r="N8" s="2917"/>
      <c r="O8" s="2917"/>
      <c r="P8" s="3656" t="s">
        <v>2313</v>
      </c>
      <c r="Q8" s="3572"/>
      <c r="R8" s="710" t="s">
        <v>17</v>
      </c>
      <c r="S8" s="711">
        <f t="shared" si="0"/>
        <v>0</v>
      </c>
      <c r="T8" s="710" t="s">
        <v>17</v>
      </c>
      <c r="U8" s="711">
        <f t="shared" si="1"/>
        <v>0</v>
      </c>
      <c r="V8" s="710" t="s">
        <v>17</v>
      </c>
      <c r="W8" s="711">
        <f t="shared" si="2"/>
        <v>0</v>
      </c>
      <c r="X8" s="712"/>
      <c r="Y8" s="3571" t="s">
        <v>2313</v>
      </c>
      <c r="Z8" s="3572"/>
      <c r="AA8" s="713" t="e">
        <f t="shared" ref="AA8:AA47" si="3">D8/F8</f>
        <v>#DIV/0!</v>
      </c>
      <c r="AB8" s="713" t="e">
        <f t="shared" ref="AB8:AB47" si="4">D8/H8</f>
        <v>#DIV/0!</v>
      </c>
      <c r="AC8" s="2115"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6"/>
      <c r="M9" s="2917"/>
      <c r="N9" s="2917"/>
      <c r="O9" s="2917"/>
      <c r="P9" s="3609" t="s">
        <v>2316</v>
      </c>
      <c r="Q9" s="1497" t="str">
        <f t="shared" ref="Q9:Q15" si="6">B9</f>
        <v>用途</v>
      </c>
      <c r="R9" s="710" t="s">
        <v>17</v>
      </c>
      <c r="S9" s="711">
        <f t="shared" si="0"/>
        <v>100</v>
      </c>
      <c r="T9" s="710" t="s">
        <v>17</v>
      </c>
      <c r="U9" s="711">
        <f t="shared" si="1"/>
        <v>100</v>
      </c>
      <c r="V9" s="710" t="s">
        <v>17</v>
      </c>
      <c r="W9" s="711">
        <f t="shared" si="2"/>
        <v>100</v>
      </c>
      <c r="X9" s="712"/>
      <c r="Y9" s="3541" t="s">
        <v>2317</v>
      </c>
      <c r="Z9" s="55" t="str">
        <f t="shared" ref="Z9:Z15" si="7">Q9</f>
        <v>用途</v>
      </c>
      <c r="AA9" s="713">
        <f t="shared" si="3"/>
        <v>1</v>
      </c>
      <c r="AB9" s="713">
        <f t="shared" si="4"/>
        <v>1</v>
      </c>
      <c r="AC9" s="2115">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8"/>
      <c r="M10" s="2919"/>
      <c r="N10" s="2919"/>
      <c r="O10" s="2919"/>
      <c r="P10" s="3609"/>
      <c r="Q10" s="1497" t="str">
        <f t="shared" si="6"/>
        <v>土地使用年限（年）</v>
      </c>
      <c r="R10" s="710" t="s">
        <v>17</v>
      </c>
      <c r="S10" s="711">
        <f t="shared" si="0"/>
        <v>100</v>
      </c>
      <c r="T10" s="710" t="s">
        <v>17</v>
      </c>
      <c r="U10" s="711">
        <f t="shared" si="1"/>
        <v>100</v>
      </c>
      <c r="V10" s="710" t="s">
        <v>17</v>
      </c>
      <c r="W10" s="711">
        <f t="shared" si="2"/>
        <v>100</v>
      </c>
      <c r="X10" s="712"/>
      <c r="Y10" s="3541"/>
      <c r="Z10" s="55" t="str">
        <f t="shared" si="7"/>
        <v>土地使用年限（年）</v>
      </c>
      <c r="AA10" s="713">
        <f t="shared" si="3"/>
        <v>1</v>
      </c>
      <c r="AB10" s="713">
        <f t="shared" si="4"/>
        <v>1</v>
      </c>
      <c r="AC10" s="2115">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20"/>
      <c r="M11" s="2915"/>
      <c r="N11" s="2915"/>
      <c r="O11" s="2915"/>
      <c r="P11" s="3609"/>
      <c r="Q11" s="1497" t="str">
        <f t="shared" si="6"/>
        <v>容积率</v>
      </c>
      <c r="R11" s="710" t="s">
        <v>17</v>
      </c>
      <c r="S11" s="711" t="e">
        <f t="shared" si="0"/>
        <v>#N/A</v>
      </c>
      <c r="T11" s="710" t="s">
        <v>17</v>
      </c>
      <c r="U11" s="711" t="e">
        <f t="shared" si="1"/>
        <v>#N/A</v>
      </c>
      <c r="V11" s="710" t="s">
        <v>17</v>
      </c>
      <c r="W11" s="711" t="e">
        <f t="shared" si="2"/>
        <v>#N/A</v>
      </c>
      <c r="X11" s="712"/>
      <c r="Y11" s="3541"/>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6"/>
      <c r="M12" s="2917"/>
      <c r="N12" s="2917"/>
      <c r="O12" s="2917"/>
      <c r="P12" s="3609"/>
      <c r="Q12" s="1497">
        <f t="shared" si="6"/>
        <v>111</v>
      </c>
      <c r="R12" s="710" t="s">
        <v>17</v>
      </c>
      <c r="S12" s="711">
        <f t="shared" si="0"/>
        <v>100</v>
      </c>
      <c r="T12" s="710" t="s">
        <v>17</v>
      </c>
      <c r="U12" s="711">
        <f t="shared" si="1"/>
        <v>100</v>
      </c>
      <c r="V12" s="710" t="s">
        <v>17</v>
      </c>
      <c r="W12" s="711">
        <f t="shared" si="2"/>
        <v>100</v>
      </c>
      <c r="X12" s="712"/>
      <c r="Y12" s="3541"/>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21"/>
      <c r="M13" s="2915"/>
      <c r="N13" s="2915"/>
      <c r="O13" s="2915"/>
      <c r="P13" s="3609"/>
      <c r="Q13" s="1497">
        <f t="shared" si="6"/>
        <v>111</v>
      </c>
      <c r="R13" s="710" t="s">
        <v>17</v>
      </c>
      <c r="S13" s="711">
        <f t="shared" si="0"/>
        <v>100</v>
      </c>
      <c r="T13" s="710" t="s">
        <v>17</v>
      </c>
      <c r="U13" s="711">
        <f t="shared" si="1"/>
        <v>100</v>
      </c>
      <c r="V13" s="710" t="s">
        <v>17</v>
      </c>
      <c r="W13" s="711">
        <f t="shared" si="2"/>
        <v>100</v>
      </c>
      <c r="X13" s="712"/>
      <c r="Y13" s="3541"/>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21"/>
      <c r="M14" s="2915"/>
      <c r="N14" s="2915"/>
      <c r="O14" s="2915"/>
      <c r="P14" s="3609"/>
      <c r="Q14" s="1497">
        <f t="shared" si="6"/>
        <v>111</v>
      </c>
      <c r="R14" s="710" t="s">
        <v>17</v>
      </c>
      <c r="S14" s="711">
        <f t="shared" si="0"/>
        <v>100</v>
      </c>
      <c r="T14" s="710" t="s">
        <v>17</v>
      </c>
      <c r="U14" s="711">
        <f t="shared" si="1"/>
        <v>100</v>
      </c>
      <c r="V14" s="710" t="s">
        <v>17</v>
      </c>
      <c r="W14" s="711">
        <f t="shared" si="2"/>
        <v>100</v>
      </c>
      <c r="X14" s="712"/>
      <c r="Y14" s="3541"/>
      <c r="Z14" s="55">
        <f t="shared" si="7"/>
        <v>111</v>
      </c>
      <c r="AA14" s="713">
        <f t="shared" si="3"/>
        <v>1</v>
      </c>
      <c r="AB14" s="713">
        <f t="shared" si="4"/>
        <v>1</v>
      </c>
      <c r="AC14" s="2115">
        <f t="shared" si="5"/>
        <v>1</v>
      </c>
    </row>
    <row r="15" spans="1:29" ht="71.25">
      <c r="A15" s="399" t="s">
        <v>2320</v>
      </c>
      <c r="B15" s="585" t="s">
        <v>2448</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1"/>
      <c r="M15" s="2915"/>
      <c r="N15" s="2915"/>
      <c r="O15" s="2915"/>
      <c r="P15" s="3643" t="s">
        <v>2321</v>
      </c>
      <c r="Q15" s="1506" t="str">
        <f t="shared" si="6"/>
        <v>办公集聚程度</v>
      </c>
      <c r="R15" s="714" t="s">
        <v>17</v>
      </c>
      <c r="S15" s="715">
        <f t="shared" si="0"/>
        <v>100</v>
      </c>
      <c r="T15" s="714" t="s">
        <v>17</v>
      </c>
      <c r="U15" s="715">
        <f t="shared" si="1"/>
        <v>100</v>
      </c>
      <c r="V15" s="714" t="s">
        <v>17</v>
      </c>
      <c r="W15" s="715">
        <f t="shared" si="2"/>
        <v>100</v>
      </c>
      <c r="X15" s="1509"/>
      <c r="Y15" s="3600" t="s">
        <v>2321</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21"/>
      <c r="M16" s="2915"/>
      <c r="N16" s="2915"/>
      <c r="O16" s="2915"/>
      <c r="P16" s="3644"/>
      <c r="Q16" s="1506"/>
      <c r="R16" s="714"/>
      <c r="S16" s="715"/>
      <c r="T16" s="714"/>
      <c r="U16" s="715"/>
      <c r="V16" s="714"/>
      <c r="W16" s="715"/>
      <c r="X16" s="1509"/>
      <c r="Y16" s="3601"/>
      <c r="Z16" s="1510"/>
      <c r="AA16" s="1507">
        <v>1</v>
      </c>
      <c r="AB16" s="1507">
        <v>1</v>
      </c>
      <c r="AC16" s="2118">
        <v>1</v>
      </c>
    </row>
    <row r="17" spans="1:29" ht="71.25">
      <c r="A17" s="387"/>
      <c r="B17" s="587" t="s">
        <v>1885</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1"/>
      <c r="M17" s="2915"/>
      <c r="N17" s="2915"/>
      <c r="O17" s="2915"/>
      <c r="P17" s="3644"/>
      <c r="Q17" s="1506" t="str">
        <f>B17</f>
        <v>交通便捷度</v>
      </c>
      <c r="R17" s="714" t="s">
        <v>17</v>
      </c>
      <c r="S17" s="715">
        <f>F17</f>
        <v>100</v>
      </c>
      <c r="T17" s="714" t="s">
        <v>17</v>
      </c>
      <c r="U17" s="715">
        <f>H17</f>
        <v>100</v>
      </c>
      <c r="V17" s="714" t="s">
        <v>17</v>
      </c>
      <c r="W17" s="715">
        <f>J17</f>
        <v>100</v>
      </c>
      <c r="X17" s="1509"/>
      <c r="Y17" s="3601"/>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21"/>
      <c r="M18" s="2915"/>
      <c r="N18" s="2915"/>
      <c r="O18" s="2915"/>
      <c r="P18" s="3644"/>
      <c r="Q18" s="1506"/>
      <c r="R18" s="714"/>
      <c r="S18" s="715"/>
      <c r="T18" s="714"/>
      <c r="U18" s="715"/>
      <c r="V18" s="714"/>
      <c r="W18" s="715"/>
      <c r="X18" s="1509"/>
      <c r="Y18" s="3601"/>
      <c r="Z18" s="1510"/>
      <c r="AA18" s="1507">
        <v>1</v>
      </c>
      <c r="AB18" s="1507">
        <v>1</v>
      </c>
      <c r="AC18" s="2118">
        <v>1</v>
      </c>
    </row>
    <row r="19" spans="1:29" ht="42.75">
      <c r="A19" s="387"/>
      <c r="B19" s="587" t="s">
        <v>2449</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1"/>
      <c r="M19" s="2915"/>
      <c r="N19" s="2915"/>
      <c r="O19" s="2915"/>
      <c r="P19" s="3644"/>
      <c r="Q19" s="1506" t="str">
        <f>B19</f>
        <v>公共配套设施</v>
      </c>
      <c r="R19" s="714" t="s">
        <v>17</v>
      </c>
      <c r="S19" s="715">
        <f>F19</f>
        <v>100</v>
      </c>
      <c r="T19" s="714" t="s">
        <v>17</v>
      </c>
      <c r="U19" s="715">
        <f>H19</f>
        <v>100</v>
      </c>
      <c r="V19" s="714" t="s">
        <v>17</v>
      </c>
      <c r="W19" s="715">
        <f>J19</f>
        <v>100</v>
      </c>
      <c r="X19" s="1509"/>
      <c r="Y19" s="3601"/>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21"/>
      <c r="M20" s="2915"/>
      <c r="N20" s="2915"/>
      <c r="O20" s="2915"/>
      <c r="P20" s="3644"/>
      <c r="Q20" s="1506"/>
      <c r="R20" s="714"/>
      <c r="S20" s="715"/>
      <c r="T20" s="714"/>
      <c r="U20" s="715"/>
      <c r="V20" s="714"/>
      <c r="W20" s="715"/>
      <c r="X20" s="1509"/>
      <c r="Y20" s="3601"/>
      <c r="Z20" s="1510"/>
      <c r="AA20" s="1507">
        <v>1</v>
      </c>
      <c r="AB20" s="1507">
        <v>1</v>
      </c>
      <c r="AC20" s="2118">
        <v>1</v>
      </c>
    </row>
    <row r="21" spans="1:29" ht="28.5">
      <c r="A21" s="387"/>
      <c r="B21" s="589" t="s">
        <v>2450</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1"/>
      <c r="M21" s="2915"/>
      <c r="N21" s="2915"/>
      <c r="O21" s="2915"/>
      <c r="P21" s="3644"/>
      <c r="Q21" s="1506" t="str">
        <f>B21</f>
        <v>基础设施水平</v>
      </c>
      <c r="R21" s="714" t="s">
        <v>17</v>
      </c>
      <c r="S21" s="715">
        <f>F21</f>
        <v>100</v>
      </c>
      <c r="T21" s="714" t="s">
        <v>17</v>
      </c>
      <c r="U21" s="715">
        <f>H21</f>
        <v>100</v>
      </c>
      <c r="V21" s="714" t="s">
        <v>17</v>
      </c>
      <c r="W21" s="715">
        <f>J21</f>
        <v>100</v>
      </c>
      <c r="X21" s="1509"/>
      <c r="Y21" s="3601"/>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21"/>
      <c r="M22" s="2915"/>
      <c r="N22" s="2915"/>
      <c r="O22" s="2915"/>
      <c r="P22" s="3644"/>
      <c r="Q22" s="1506"/>
      <c r="R22" s="714"/>
      <c r="S22" s="715"/>
      <c r="T22" s="714"/>
      <c r="U22" s="715"/>
      <c r="V22" s="714"/>
      <c r="W22" s="715"/>
      <c r="X22" s="1509"/>
      <c r="Y22" s="3601"/>
      <c r="Z22" s="1510"/>
      <c r="AA22" s="1507">
        <v>1</v>
      </c>
      <c r="AB22" s="1507">
        <v>1</v>
      </c>
      <c r="AC22" s="2118">
        <v>1</v>
      </c>
    </row>
    <row r="23" spans="1:29" ht="42.75">
      <c r="A23" s="387"/>
      <c r="B23" s="587" t="s">
        <v>2451</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1"/>
      <c r="M23" s="2915"/>
      <c r="N23" s="2915"/>
      <c r="O23" s="2915"/>
      <c r="P23" s="3644"/>
      <c r="Q23" s="1506" t="str">
        <f>B23</f>
        <v>环境质量</v>
      </c>
      <c r="R23" s="714" t="s">
        <v>17</v>
      </c>
      <c r="S23" s="715">
        <f>F23</f>
        <v>100</v>
      </c>
      <c r="T23" s="714" t="s">
        <v>17</v>
      </c>
      <c r="U23" s="715">
        <f>H23</f>
        <v>100</v>
      </c>
      <c r="V23" s="714" t="s">
        <v>17</v>
      </c>
      <c r="W23" s="715">
        <f>J23</f>
        <v>100</v>
      </c>
      <c r="X23" s="1509"/>
      <c r="Y23" s="3601"/>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21"/>
      <c r="M24" s="2915"/>
      <c r="N24" s="2915"/>
      <c r="O24" s="2915"/>
      <c r="P24" s="3644"/>
      <c r="Q24" s="1506"/>
      <c r="R24" s="714"/>
      <c r="S24" s="715"/>
      <c r="T24" s="714"/>
      <c r="U24" s="715"/>
      <c r="V24" s="714"/>
      <c r="W24" s="715"/>
      <c r="X24" s="1509"/>
      <c r="Y24" s="3601"/>
      <c r="Z24" s="1510"/>
      <c r="AA24" s="1507">
        <v>1</v>
      </c>
      <c r="AB24" s="1507">
        <v>1</v>
      </c>
      <c r="AC24" s="2118">
        <v>1</v>
      </c>
    </row>
    <row r="25" spans="1:29" ht="27">
      <c r="A25" s="364"/>
      <c r="B25" s="587" t="s">
        <v>2452</v>
      </c>
      <c r="C25" s="2064"/>
      <c r="D25" s="394">
        <v>100</v>
      </c>
      <c r="E25" s="393"/>
      <c r="F25" s="394">
        <f>SUMIF(87:87,E26,88:88)-SUMIF(87:87,C26,88:88)+100</f>
        <v>100</v>
      </c>
      <c r="G25" s="2064"/>
      <c r="H25" s="394">
        <f>SUMIF(87:87,G26,88:88)-SUMIF(87:87,C26,88:88)+100</f>
        <v>100</v>
      </c>
      <c r="I25" s="393"/>
      <c r="J25" s="394">
        <f>SUMIF(87:87,I26,88:88)-SUMIF(87:87,C26,88:88)+100</f>
        <v>100</v>
      </c>
      <c r="K25" s="571"/>
      <c r="L25" s="2921"/>
      <c r="M25" s="2915"/>
      <c r="N25" s="2915"/>
      <c r="O25" s="2915"/>
      <c r="P25" s="3644"/>
      <c r="Q25" s="1506" t="str">
        <f>B25</f>
        <v>毗邻道路的类型与等级</v>
      </c>
      <c r="R25" s="714" t="s">
        <v>17</v>
      </c>
      <c r="S25" s="715">
        <f>F25</f>
        <v>100</v>
      </c>
      <c r="T25" s="714" t="s">
        <v>17</v>
      </c>
      <c r="U25" s="715">
        <f>H25</f>
        <v>100</v>
      </c>
      <c r="V25" s="714" t="s">
        <v>17</v>
      </c>
      <c r="W25" s="715">
        <f>J25</f>
        <v>100</v>
      </c>
      <c r="X25" s="1509"/>
      <c r="Y25" s="3601"/>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21"/>
      <c r="M26" s="2915"/>
      <c r="N26" s="2915"/>
      <c r="O26" s="2915"/>
      <c r="P26" s="3644"/>
      <c r="Q26" s="1506"/>
      <c r="R26" s="714"/>
      <c r="S26" s="715"/>
      <c r="T26" s="714"/>
      <c r="U26" s="715"/>
      <c r="V26" s="714"/>
      <c r="W26" s="715"/>
      <c r="X26" s="1509"/>
      <c r="Y26" s="3601"/>
      <c r="Z26" s="1510"/>
      <c r="AA26" s="1507">
        <v>1</v>
      </c>
      <c r="AB26" s="1507">
        <v>1</v>
      </c>
      <c r="AC26" s="2118">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21"/>
      <c r="M27" s="2915"/>
      <c r="N27" s="2915"/>
      <c r="O27" s="2915"/>
      <c r="P27" s="3644"/>
      <c r="Q27" s="1506" t="str">
        <f t="shared" ref="Q27:Q47" si="11">B27</f>
        <v>楼层</v>
      </c>
      <c r="R27" s="714" t="s">
        <v>17</v>
      </c>
      <c r="S27" s="715">
        <f>F27</f>
        <v>100</v>
      </c>
      <c r="T27" s="714" t="s">
        <v>17</v>
      </c>
      <c r="U27" s="715">
        <f>H27</f>
        <v>100</v>
      </c>
      <c r="V27" s="714" t="s">
        <v>17</v>
      </c>
      <c r="W27" s="715">
        <f>J27</f>
        <v>100</v>
      </c>
      <c r="X27" s="1509"/>
      <c r="Y27" s="3601"/>
      <c r="Z27" s="1510" t="str">
        <f>Q27</f>
        <v>楼层</v>
      </c>
      <c r="AA27" s="1507">
        <f t="shared" si="3"/>
        <v>1</v>
      </c>
      <c r="AB27" s="1507">
        <f t="shared" si="4"/>
        <v>1</v>
      </c>
      <c r="AC27" s="2118">
        <f t="shared" si="5"/>
        <v>1</v>
      </c>
    </row>
    <row r="28" spans="1:29" s="113" customFormat="1" ht="15">
      <c r="A28" s="390"/>
      <c r="B28" s="587" t="s">
        <v>2453</v>
      </c>
      <c r="C28" s="2121"/>
      <c r="D28" s="421">
        <v>100</v>
      </c>
      <c r="E28" s="2112"/>
      <c r="F28" s="421">
        <f>SUMIF(91:91,E28,92:92)-SUMIF(91:91,C28,92:92)+100</f>
        <v>100</v>
      </c>
      <c r="G28" s="2121"/>
      <c r="H28" s="421">
        <f>SUMIF(91:91,G28,92:92)-SUMIF(91:91,C28,92:92)+100</f>
        <v>100</v>
      </c>
      <c r="I28" s="2112"/>
      <c r="J28" s="421">
        <f>SUMIF(91:91,I28,92:92)-SUMIF(91:91,C28,92:92)+100</f>
        <v>100</v>
      </c>
      <c r="K28" s="569"/>
      <c r="L28" s="2916"/>
      <c r="M28" s="2917"/>
      <c r="N28" s="2917"/>
      <c r="O28" s="2917"/>
      <c r="P28" s="3644"/>
      <c r="Q28" s="1497" t="str">
        <f t="shared" si="11"/>
        <v>朝向</v>
      </c>
      <c r="R28" s="710" t="s">
        <v>17</v>
      </c>
      <c r="S28" s="711">
        <f>F28</f>
        <v>100</v>
      </c>
      <c r="T28" s="710" t="s">
        <v>17</v>
      </c>
      <c r="U28" s="711">
        <f>H28</f>
        <v>100</v>
      </c>
      <c r="V28" s="710" t="s">
        <v>17</v>
      </c>
      <c r="W28" s="711">
        <f>J28</f>
        <v>100</v>
      </c>
      <c r="X28" s="712"/>
      <c r="Y28" s="3601"/>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21"/>
      <c r="M29" s="2915"/>
      <c r="N29" s="2915"/>
      <c r="O29" s="2915"/>
      <c r="P29" s="3644"/>
      <c r="Q29" s="1506">
        <f t="shared" si="11"/>
        <v>111</v>
      </c>
      <c r="R29" s="714" t="s">
        <v>17</v>
      </c>
      <c r="S29" s="715">
        <f t="shared" ref="S29:S47" si="12">F29</f>
        <v>100</v>
      </c>
      <c r="T29" s="714" t="s">
        <v>17</v>
      </c>
      <c r="U29" s="715">
        <f t="shared" ref="U29:U47" si="13">H29</f>
        <v>100</v>
      </c>
      <c r="V29" s="714" t="s">
        <v>17</v>
      </c>
      <c r="W29" s="715">
        <f t="shared" ref="W29:W47" si="14">J29</f>
        <v>100</v>
      </c>
      <c r="X29" s="1509"/>
      <c r="Y29" s="3601"/>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21"/>
      <c r="M30" s="2915"/>
      <c r="N30" s="2915"/>
      <c r="O30" s="2915"/>
      <c r="P30" s="3644"/>
      <c r="Q30" s="1506">
        <f t="shared" si="11"/>
        <v>111</v>
      </c>
      <c r="R30" s="714" t="s">
        <v>17</v>
      </c>
      <c r="S30" s="715">
        <f t="shared" si="12"/>
        <v>100</v>
      </c>
      <c r="T30" s="714" t="s">
        <v>17</v>
      </c>
      <c r="U30" s="715">
        <f t="shared" si="13"/>
        <v>100</v>
      </c>
      <c r="V30" s="714" t="s">
        <v>17</v>
      </c>
      <c r="W30" s="715">
        <f t="shared" si="14"/>
        <v>100</v>
      </c>
      <c r="X30" s="1509"/>
      <c r="Y30" s="3601"/>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21"/>
      <c r="M31" s="2915"/>
      <c r="N31" s="2915"/>
      <c r="O31" s="2915"/>
      <c r="P31" s="3644"/>
      <c r="Q31" s="1506">
        <f t="shared" si="11"/>
        <v>111</v>
      </c>
      <c r="R31" s="714" t="s">
        <v>17</v>
      </c>
      <c r="S31" s="715">
        <f t="shared" si="12"/>
        <v>100</v>
      </c>
      <c r="T31" s="714" t="s">
        <v>17</v>
      </c>
      <c r="U31" s="715">
        <f t="shared" si="13"/>
        <v>100</v>
      </c>
      <c r="V31" s="714" t="s">
        <v>17</v>
      </c>
      <c r="W31" s="715">
        <f t="shared" si="14"/>
        <v>100</v>
      </c>
      <c r="X31" s="1509"/>
      <c r="Y31" s="3601"/>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21"/>
      <c r="M32" s="2915"/>
      <c r="N32" s="2915"/>
      <c r="O32" s="2915"/>
      <c r="P32" s="3644"/>
      <c r="Q32" s="1506">
        <f t="shared" si="11"/>
        <v>111</v>
      </c>
      <c r="R32" s="714" t="s">
        <v>17</v>
      </c>
      <c r="S32" s="715">
        <f t="shared" si="12"/>
        <v>100</v>
      </c>
      <c r="T32" s="714" t="s">
        <v>17</v>
      </c>
      <c r="U32" s="715">
        <f t="shared" si="13"/>
        <v>100</v>
      </c>
      <c r="V32" s="714" t="s">
        <v>17</v>
      </c>
      <c r="W32" s="715">
        <f t="shared" si="14"/>
        <v>100</v>
      </c>
      <c r="X32" s="1509"/>
      <c r="Y32" s="3601"/>
      <c r="Z32" s="1510">
        <f t="shared" si="15"/>
        <v>111</v>
      </c>
      <c r="AA32" s="1507">
        <f t="shared" si="3"/>
        <v>1</v>
      </c>
      <c r="AB32" s="1507">
        <f t="shared" si="4"/>
        <v>1</v>
      </c>
      <c r="AC32" s="2118">
        <f t="shared" si="5"/>
        <v>1</v>
      </c>
    </row>
    <row r="33" spans="1:29" ht="15">
      <c r="A33" s="399" t="s">
        <v>2324</v>
      </c>
      <c r="B33" s="67" t="s">
        <v>2454</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21"/>
      <c r="M33" s="2915"/>
      <c r="N33" s="2915"/>
      <c r="O33" s="2915"/>
      <c r="P33" s="3639" t="s">
        <v>2326</v>
      </c>
      <c r="Q33" s="1506" t="str">
        <f t="shared" si="11"/>
        <v>建筑类型</v>
      </c>
      <c r="R33" s="714" t="s">
        <v>17</v>
      </c>
      <c r="S33" s="715">
        <f t="shared" si="12"/>
        <v>100</v>
      </c>
      <c r="T33" s="714" t="s">
        <v>17</v>
      </c>
      <c r="U33" s="715">
        <f t="shared" si="13"/>
        <v>100</v>
      </c>
      <c r="V33" s="714" t="s">
        <v>17</v>
      </c>
      <c r="W33" s="715">
        <f t="shared" si="14"/>
        <v>100</v>
      </c>
      <c r="X33" s="1509"/>
      <c r="Y33" s="3603" t="s">
        <v>2326</v>
      </c>
      <c r="Z33" s="1510" t="str">
        <f t="shared" si="15"/>
        <v>建筑类型</v>
      </c>
      <c r="AA33" s="1507">
        <f t="shared" si="3"/>
        <v>1</v>
      </c>
      <c r="AB33" s="1507">
        <f t="shared" si="4"/>
        <v>1</v>
      </c>
      <c r="AC33" s="2118">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20"/>
      <c r="M34" s="2922"/>
      <c r="N34" s="2922"/>
      <c r="O34" s="2922"/>
      <c r="P34" s="3640"/>
      <c r="Q34" s="716" t="str">
        <f t="shared" si="11"/>
        <v>项目建筑规模</v>
      </c>
      <c r="R34" s="717" t="s">
        <v>17</v>
      </c>
      <c r="S34" s="718" t="e">
        <f t="shared" si="12"/>
        <v>#N/A</v>
      </c>
      <c r="T34" s="717" t="s">
        <v>17</v>
      </c>
      <c r="U34" s="718" t="e">
        <f t="shared" si="13"/>
        <v>#N/A</v>
      </c>
      <c r="V34" s="717" t="s">
        <v>17</v>
      </c>
      <c r="W34" s="718" t="e">
        <f t="shared" si="14"/>
        <v>#N/A</v>
      </c>
      <c r="X34" s="719"/>
      <c r="Y34" s="3603"/>
      <c r="Z34" s="720" t="str">
        <f t="shared" si="15"/>
        <v>项目建筑规模</v>
      </c>
      <c r="AA34" s="1507" t="e">
        <f t="shared" si="3"/>
        <v>#N/A</v>
      </c>
      <c r="AB34" s="1507" t="e">
        <f t="shared" si="4"/>
        <v>#N/A</v>
      </c>
      <c r="AC34" s="2118"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1"/>
      <c r="M35" s="2915"/>
      <c r="N35" s="2915"/>
      <c r="O35" s="2915"/>
      <c r="P35" s="3640"/>
      <c r="Q35" s="1506" t="str">
        <f t="shared" si="11"/>
        <v>建筑结构</v>
      </c>
      <c r="R35" s="714" t="s">
        <v>17</v>
      </c>
      <c r="S35" s="715">
        <f t="shared" si="12"/>
        <v>100</v>
      </c>
      <c r="T35" s="714" t="s">
        <v>17</v>
      </c>
      <c r="U35" s="715">
        <f t="shared" si="13"/>
        <v>100</v>
      </c>
      <c r="V35" s="714" t="s">
        <v>17</v>
      </c>
      <c r="W35" s="715">
        <f t="shared" si="14"/>
        <v>100</v>
      </c>
      <c r="X35" s="1509"/>
      <c r="Y35" s="3603"/>
      <c r="Z35" s="1510" t="str">
        <f t="shared" si="15"/>
        <v>建筑结构</v>
      </c>
      <c r="AA35" s="1507">
        <f t="shared" si="3"/>
        <v>1</v>
      </c>
      <c r="AB35" s="1507">
        <f t="shared" si="4"/>
        <v>1</v>
      </c>
      <c r="AC35" s="2118">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1"/>
      <c r="M36" s="2915"/>
      <c r="N36" s="2915"/>
      <c r="O36" s="2915"/>
      <c r="P36" s="3640"/>
      <c r="Q36" s="1506" t="str">
        <f t="shared" si="11"/>
        <v>公共部分装修</v>
      </c>
      <c r="R36" s="714" t="s">
        <v>17</v>
      </c>
      <c r="S36" s="715">
        <f t="shared" si="12"/>
        <v>100</v>
      </c>
      <c r="T36" s="714" t="s">
        <v>17</v>
      </c>
      <c r="U36" s="715">
        <f t="shared" si="13"/>
        <v>100</v>
      </c>
      <c r="V36" s="714" t="s">
        <v>17</v>
      </c>
      <c r="W36" s="715">
        <f t="shared" si="14"/>
        <v>100</v>
      </c>
      <c r="X36" s="1509"/>
      <c r="Y36" s="3603"/>
      <c r="Z36" s="1510" t="str">
        <f t="shared" si="15"/>
        <v>公共部分装修</v>
      </c>
      <c r="AA36" s="1507">
        <f t="shared" si="3"/>
        <v>1</v>
      </c>
      <c r="AB36" s="1507">
        <f t="shared" si="4"/>
        <v>1</v>
      </c>
      <c r="AC36" s="2118">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1"/>
      <c r="M37" s="2915"/>
      <c r="N37" s="2915"/>
      <c r="O37" s="2915"/>
      <c r="P37" s="3640"/>
      <c r="Q37" s="1506" t="str">
        <f t="shared" si="11"/>
        <v>成新度</v>
      </c>
      <c r="R37" s="714" t="s">
        <v>17</v>
      </c>
      <c r="S37" s="715" t="e">
        <f t="shared" si="12"/>
        <v>#N/A</v>
      </c>
      <c r="T37" s="714" t="s">
        <v>17</v>
      </c>
      <c r="U37" s="715" t="e">
        <f t="shared" si="13"/>
        <v>#N/A</v>
      </c>
      <c r="V37" s="714" t="s">
        <v>17</v>
      </c>
      <c r="W37" s="715" t="e">
        <f t="shared" si="14"/>
        <v>#N/A</v>
      </c>
      <c r="X37" s="1509"/>
      <c r="Y37" s="3603"/>
      <c r="Z37" s="1510" t="str">
        <f t="shared" si="15"/>
        <v>成新度</v>
      </c>
      <c r="AA37" s="1507" t="e">
        <f t="shared" si="3"/>
        <v>#N/A</v>
      </c>
      <c r="AB37" s="1507" t="e">
        <f t="shared" si="4"/>
        <v>#N/A</v>
      </c>
      <c r="AC37" s="2118"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6"/>
      <c r="M38" s="2917"/>
      <c r="N38" s="2917"/>
      <c r="O38" s="2917"/>
      <c r="P38" s="3640"/>
      <c r="Q38" s="1497" t="str">
        <f t="shared" si="11"/>
        <v>写字楼等级</v>
      </c>
      <c r="R38" s="710" t="s">
        <v>17</v>
      </c>
      <c r="S38" s="711">
        <f t="shared" si="12"/>
        <v>100</v>
      </c>
      <c r="T38" s="710" t="s">
        <v>17</v>
      </c>
      <c r="U38" s="711">
        <f t="shared" si="13"/>
        <v>100</v>
      </c>
      <c r="V38" s="710" t="s">
        <v>17</v>
      </c>
      <c r="W38" s="711">
        <f t="shared" si="14"/>
        <v>100</v>
      </c>
      <c r="X38" s="712"/>
      <c r="Y38" s="3603"/>
      <c r="Z38" s="55" t="str">
        <f t="shared" si="15"/>
        <v>写字楼等级</v>
      </c>
      <c r="AA38" s="713">
        <f t="shared" si="3"/>
        <v>1</v>
      </c>
      <c r="AB38" s="713">
        <f t="shared" si="4"/>
        <v>1</v>
      </c>
      <c r="AC38" s="2115">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1"/>
      <c r="M39" s="2915"/>
      <c r="N39" s="2915"/>
      <c r="O39" s="2915"/>
      <c r="P39" s="3640" t="s">
        <v>2326</v>
      </c>
      <c r="Q39" s="1506" t="str">
        <f t="shared" si="11"/>
        <v>物业管理</v>
      </c>
      <c r="R39" s="714" t="s">
        <v>17</v>
      </c>
      <c r="S39" s="715">
        <f t="shared" si="12"/>
        <v>100</v>
      </c>
      <c r="T39" s="714" t="s">
        <v>17</v>
      </c>
      <c r="U39" s="715">
        <f t="shared" si="13"/>
        <v>100</v>
      </c>
      <c r="V39" s="714" t="s">
        <v>17</v>
      </c>
      <c r="W39" s="715">
        <f t="shared" si="14"/>
        <v>100</v>
      </c>
      <c r="X39" s="1509"/>
      <c r="Y39" s="3603" t="s">
        <v>2326</v>
      </c>
      <c r="Z39" s="1510" t="str">
        <f t="shared" si="15"/>
        <v>物业管理</v>
      </c>
      <c r="AA39" s="1507">
        <f t="shared" si="3"/>
        <v>1</v>
      </c>
      <c r="AB39" s="1507">
        <f t="shared" si="4"/>
        <v>1</v>
      </c>
      <c r="AC39" s="2118">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1"/>
      <c r="M40" s="2915"/>
      <c r="N40" s="2915"/>
      <c r="O40" s="2915"/>
      <c r="P40" s="3640"/>
      <c r="Q40" s="1506" t="str">
        <f t="shared" si="11"/>
        <v>市政基础设施</v>
      </c>
      <c r="R40" s="714" t="s">
        <v>17</v>
      </c>
      <c r="S40" s="715">
        <f t="shared" si="12"/>
        <v>100</v>
      </c>
      <c r="T40" s="714" t="s">
        <v>17</v>
      </c>
      <c r="U40" s="715">
        <f t="shared" si="13"/>
        <v>100</v>
      </c>
      <c r="V40" s="714" t="s">
        <v>17</v>
      </c>
      <c r="W40" s="715">
        <f t="shared" si="14"/>
        <v>100</v>
      </c>
      <c r="X40" s="1509"/>
      <c r="Y40" s="3603"/>
      <c r="Z40" s="1510" t="str">
        <f t="shared" si="15"/>
        <v>市政基础设施</v>
      </c>
      <c r="AA40" s="1507">
        <f t="shared" si="3"/>
        <v>1</v>
      </c>
      <c r="AB40" s="1507">
        <f t="shared" si="4"/>
        <v>1</v>
      </c>
      <c r="AC40" s="2118">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1"/>
      <c r="M41" s="2915"/>
      <c r="N41" s="2915"/>
      <c r="O41" s="2915"/>
      <c r="P41" s="3640"/>
      <c r="Q41" s="1506" t="str">
        <f t="shared" si="11"/>
        <v>层高</v>
      </c>
      <c r="R41" s="714" t="s">
        <v>17</v>
      </c>
      <c r="S41" s="715">
        <f t="shared" si="12"/>
        <v>100</v>
      </c>
      <c r="T41" s="714" t="s">
        <v>17</v>
      </c>
      <c r="U41" s="715">
        <f t="shared" si="13"/>
        <v>100</v>
      </c>
      <c r="V41" s="714" t="s">
        <v>17</v>
      </c>
      <c r="W41" s="715">
        <f t="shared" si="14"/>
        <v>100</v>
      </c>
      <c r="X41" s="1509"/>
      <c r="Y41" s="3603"/>
      <c r="Z41" s="1510" t="str">
        <f t="shared" si="15"/>
        <v>层高</v>
      </c>
      <c r="AA41" s="1507">
        <f t="shared" si="3"/>
        <v>1</v>
      </c>
      <c r="AB41" s="1507">
        <f t="shared" si="4"/>
        <v>1</v>
      </c>
      <c r="AC41" s="2118">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20"/>
      <c r="M42" s="2922"/>
      <c r="N42" s="2922"/>
      <c r="O42" s="2922"/>
      <c r="P42" s="3640"/>
      <c r="Q42" s="716" t="str">
        <f t="shared" si="11"/>
        <v>单套建筑面积</v>
      </c>
      <c r="R42" s="717" t="s">
        <v>17</v>
      </c>
      <c r="S42" s="718">
        <f t="shared" si="12"/>
        <v>100</v>
      </c>
      <c r="T42" s="717" t="s">
        <v>17</v>
      </c>
      <c r="U42" s="718">
        <f t="shared" si="13"/>
        <v>100</v>
      </c>
      <c r="V42" s="717" t="s">
        <v>17</v>
      </c>
      <c r="W42" s="718">
        <f t="shared" si="14"/>
        <v>100</v>
      </c>
      <c r="X42" s="719"/>
      <c r="Y42" s="3603"/>
      <c r="Z42" s="720" t="str">
        <f t="shared" si="15"/>
        <v>单套建筑面积</v>
      </c>
      <c r="AA42" s="1507">
        <f t="shared" si="3"/>
        <v>1</v>
      </c>
      <c r="AB42" s="1507">
        <f t="shared" si="4"/>
        <v>1</v>
      </c>
      <c r="AC42" s="2118">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1"/>
      <c r="M43" s="2915"/>
      <c r="N43" s="2915"/>
      <c r="O43" s="2915"/>
      <c r="P43" s="3640"/>
      <c r="Q43" s="1506" t="str">
        <f t="shared" si="11"/>
        <v>内部装修</v>
      </c>
      <c r="R43" s="714" t="s">
        <v>17</v>
      </c>
      <c r="S43" s="715">
        <f t="shared" si="12"/>
        <v>100</v>
      </c>
      <c r="T43" s="714" t="s">
        <v>17</v>
      </c>
      <c r="U43" s="715">
        <f t="shared" si="13"/>
        <v>100</v>
      </c>
      <c r="V43" s="714" t="s">
        <v>17</v>
      </c>
      <c r="W43" s="715">
        <f t="shared" si="14"/>
        <v>100</v>
      </c>
      <c r="X43" s="1509"/>
      <c r="Y43" s="3603"/>
      <c r="Z43" s="1510" t="str">
        <f t="shared" si="15"/>
        <v>内部装修</v>
      </c>
      <c r="AA43" s="1507">
        <f t="shared" si="3"/>
        <v>1</v>
      </c>
      <c r="AB43" s="1507">
        <f t="shared" si="4"/>
        <v>1</v>
      </c>
      <c r="AC43" s="2118">
        <f t="shared" si="5"/>
        <v>1</v>
      </c>
    </row>
    <row r="44" spans="1:29" ht="15">
      <c r="A44" s="431"/>
      <c r="B44" s="381" t="s">
        <v>2337</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21"/>
      <c r="M44" s="2915"/>
      <c r="N44" s="2915"/>
      <c r="O44" s="2915"/>
      <c r="P44" s="3640"/>
      <c r="Q44" s="1506" t="str">
        <f t="shared" si="11"/>
        <v>内部装修维护情况</v>
      </c>
      <c r="R44" s="714" t="s">
        <v>17</v>
      </c>
      <c r="S44" s="715">
        <f t="shared" si="12"/>
        <v>100</v>
      </c>
      <c r="T44" s="714" t="s">
        <v>17</v>
      </c>
      <c r="U44" s="715">
        <f t="shared" si="13"/>
        <v>100</v>
      </c>
      <c r="V44" s="714" t="s">
        <v>17</v>
      </c>
      <c r="W44" s="715">
        <f t="shared" si="14"/>
        <v>100</v>
      </c>
      <c r="X44" s="1509"/>
      <c r="Y44" s="3603"/>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6"/>
      <c r="M45" s="2917"/>
      <c r="N45" s="2917"/>
      <c r="O45" s="2917"/>
      <c r="P45" s="3640"/>
      <c r="Q45" s="1497">
        <f t="shared" si="11"/>
        <v>111</v>
      </c>
      <c r="R45" s="710" t="s">
        <v>17</v>
      </c>
      <c r="S45" s="711">
        <f t="shared" si="12"/>
        <v>100</v>
      </c>
      <c r="T45" s="710" t="s">
        <v>17</v>
      </c>
      <c r="U45" s="711">
        <f t="shared" si="13"/>
        <v>100</v>
      </c>
      <c r="V45" s="710" t="s">
        <v>17</v>
      </c>
      <c r="W45" s="711">
        <f t="shared" si="14"/>
        <v>100</v>
      </c>
      <c r="X45" s="712"/>
      <c r="Y45" s="3603"/>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1"/>
      <c r="M46" s="2915"/>
      <c r="N46" s="2915"/>
      <c r="O46" s="2915"/>
      <c r="P46" s="3640"/>
      <c r="Q46" s="1506">
        <f t="shared" si="11"/>
        <v>111</v>
      </c>
      <c r="R46" s="714" t="s">
        <v>17</v>
      </c>
      <c r="S46" s="715">
        <f t="shared" si="12"/>
        <v>100</v>
      </c>
      <c r="T46" s="714" t="s">
        <v>17</v>
      </c>
      <c r="U46" s="715">
        <f t="shared" si="13"/>
        <v>100</v>
      </c>
      <c r="V46" s="714" t="s">
        <v>17</v>
      </c>
      <c r="W46" s="715">
        <f t="shared" si="14"/>
        <v>100</v>
      </c>
      <c r="X46" s="1509"/>
      <c r="Y46" s="3603"/>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1"/>
      <c r="M47" s="2915"/>
      <c r="N47" s="2915"/>
      <c r="O47" s="2915"/>
      <c r="P47" s="3641"/>
      <c r="Q47" s="1506">
        <f t="shared" si="11"/>
        <v>111</v>
      </c>
      <c r="R47" s="714" t="s">
        <v>17</v>
      </c>
      <c r="S47" s="715">
        <f t="shared" si="12"/>
        <v>100</v>
      </c>
      <c r="T47" s="714" t="s">
        <v>17</v>
      </c>
      <c r="U47" s="715">
        <f t="shared" si="13"/>
        <v>100</v>
      </c>
      <c r="V47" s="714" t="s">
        <v>17</v>
      </c>
      <c r="W47" s="715">
        <f t="shared" si="14"/>
        <v>100</v>
      </c>
      <c r="X47" s="1509"/>
      <c r="Y47" s="3642"/>
      <c r="Z47" s="1510">
        <f t="shared" si="15"/>
        <v>111</v>
      </c>
      <c r="AA47" s="1507">
        <f t="shared" si="3"/>
        <v>1</v>
      </c>
      <c r="AB47" s="1507">
        <f t="shared" si="4"/>
        <v>1</v>
      </c>
      <c r="AC47" s="2118">
        <f t="shared" si="5"/>
        <v>1</v>
      </c>
    </row>
    <row r="48" spans="1:29" ht="15">
      <c r="A48" s="438" t="s">
        <v>2338</v>
      </c>
      <c r="B48" s="439"/>
      <c r="C48" s="1288" t="s">
        <v>1</v>
      </c>
      <c r="D48" s="1289"/>
      <c r="E48" s="1290"/>
      <c r="F48" s="1291"/>
      <c r="G48" s="1292"/>
      <c r="H48" s="1293"/>
      <c r="I48" s="1290"/>
      <c r="J48" s="444"/>
      <c r="K48" s="723"/>
      <c r="L48" s="2923"/>
      <c r="M48" s="2915"/>
      <c r="N48" s="2915"/>
      <c r="O48" s="2915"/>
      <c r="P48" s="3609" t="str">
        <f>A48</f>
        <v>成交单价（元/平方米）</v>
      </c>
      <c r="Q48" s="3585"/>
      <c r="R48" s="3638">
        <f>E48</f>
        <v>0</v>
      </c>
      <c r="S48" s="3638"/>
      <c r="T48" s="3638">
        <f>G48</f>
        <v>0</v>
      </c>
      <c r="U48" s="3638"/>
      <c r="V48" s="3638">
        <f>I48</f>
        <v>0</v>
      </c>
      <c r="W48" s="3638"/>
      <c r="X48" s="405"/>
      <c r="Y48" s="721"/>
      <c r="Z48" s="405"/>
      <c r="AA48" s="405"/>
      <c r="AB48" s="405"/>
      <c r="AC48" s="586"/>
    </row>
    <row r="49" spans="1:29" ht="15.75" thickBot="1">
      <c r="A49" s="445" t="s">
        <v>2430</v>
      </c>
      <c r="B49" s="446"/>
      <c r="C49" s="1294" t="e">
        <f>R50</f>
        <v>#DIV/0!</v>
      </c>
      <c r="D49" s="2508" t="s">
        <v>2821</v>
      </c>
      <c r="E49" s="1295" t="e">
        <f>R49</f>
        <v>#DIV/0!</v>
      </c>
      <c r="F49" s="2509"/>
      <c r="G49" s="1294" t="e">
        <f>T49</f>
        <v>#DIV/0!</v>
      </c>
      <c r="H49" s="2509"/>
      <c r="I49" s="1295" t="e">
        <f>V49</f>
        <v>#DIV/0!</v>
      </c>
      <c r="J49" s="2509"/>
      <c r="K49" s="2511">
        <f>F49+H49+J49</f>
        <v>0</v>
      </c>
      <c r="L49" s="2923"/>
      <c r="M49" s="2915"/>
      <c r="N49" s="2915"/>
      <c r="O49" s="2915"/>
      <c r="P49" s="3609" t="str">
        <f>A49</f>
        <v>比较价值（元/平方米）</v>
      </c>
      <c r="Q49" s="3585"/>
      <c r="R49" s="3638" t="e">
        <f>IF(F1="售价",ROUND(PRODUCT(R48,AA7:AA47),0),ROUND(PRODUCT(R48,AA7:AA47),1))</f>
        <v>#DIV/0!</v>
      </c>
      <c r="S49" s="3638"/>
      <c r="T49" s="3638" t="e">
        <f>IF(F1="售价",ROUND(PRODUCT(T48,AB7:AB47),0),ROUND(PRODUCT(T48,AB7:AB47),1))</f>
        <v>#DIV/0!</v>
      </c>
      <c r="U49" s="3638"/>
      <c r="V49" s="3638" t="e">
        <f>IF(F1="售价",ROUND(PRODUCT(V48,AC7:AC47),0),ROUND(PRODUCT(V48,AC7:AC47),1))</f>
        <v>#DIV/0!</v>
      </c>
      <c r="W49" s="3638"/>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3"/>
      <c r="M50" s="2915"/>
      <c r="N50" s="2915"/>
      <c r="O50" s="2915"/>
      <c r="P50" s="3657" t="str">
        <f>A50</f>
        <v>估价对象XX用房的比较价值（楼面单价，元/平方米）</v>
      </c>
      <c r="Q50" s="3658"/>
      <c r="R50" s="3659" t="e">
        <f>IF(F1="售价",ROUND(IF(D49="简单平均",AVERAGE(R49:V49),R49*F49+T49*H49+V49*J49),0),ROUND(IF(D49="简单平均",AVERAGE(R49:V49),R49*F49+T49*H49+V49*J49),1))</f>
        <v>#DIV/0!</v>
      </c>
      <c r="S50" s="3659"/>
      <c r="T50" s="3659"/>
      <c r="U50" s="3659"/>
      <c r="V50" s="3659"/>
      <c r="W50" s="3659"/>
      <c r="X50" s="2102"/>
      <c r="Y50" s="2102"/>
      <c r="Z50" s="2102"/>
      <c r="AA50" s="2102"/>
      <c r="AB50" s="2102"/>
      <c r="AC50" s="2103"/>
    </row>
    <row r="51" spans="1:29">
      <c r="A51" s="2924"/>
      <c r="B51" s="2924"/>
      <c r="C51" s="2924"/>
      <c r="D51" s="2924"/>
      <c r="E51" s="2924"/>
      <c r="F51" s="2924"/>
      <c r="G51" s="2928"/>
      <c r="H51" s="2924"/>
      <c r="I51" s="2924"/>
      <c r="J51" s="2924"/>
      <c r="K51" s="2929"/>
      <c r="L51" s="2925"/>
      <c r="M51" s="2924"/>
      <c r="N51" s="2924"/>
      <c r="O51" s="2924"/>
      <c r="P51" s="2955"/>
      <c r="Q51" s="2924"/>
      <c r="R51" s="2924"/>
      <c r="S51" s="2924"/>
      <c r="T51" s="2924"/>
      <c r="U51" s="2924"/>
      <c r="V51" s="2924"/>
      <c r="W51" s="2924"/>
      <c r="X51" s="2924"/>
      <c r="Y51" s="2924"/>
      <c r="Z51" s="2924"/>
      <c r="AA51" s="2924"/>
      <c r="AB51" s="2924"/>
      <c r="AC51" s="2924"/>
    </row>
    <row r="52" spans="1:29">
      <c r="A52" s="2924"/>
      <c r="B52" s="2924"/>
      <c r="C52" s="2924"/>
      <c r="D52" s="2924"/>
      <c r="E52" s="2924"/>
      <c r="F52" s="2924"/>
      <c r="G52" s="2924"/>
      <c r="H52" s="2924"/>
      <c r="I52" s="2924"/>
      <c r="J52" s="2924"/>
      <c r="K52" s="2929"/>
      <c r="L52" s="2925"/>
      <c r="M52" s="2924"/>
      <c r="N52" s="2924"/>
      <c r="O52" s="2924"/>
      <c r="P52" s="2955"/>
      <c r="Q52" s="2924"/>
      <c r="R52" s="2924"/>
      <c r="S52" s="2924"/>
      <c r="T52" s="2924"/>
      <c r="U52" s="2924"/>
      <c r="V52" s="2924"/>
      <c r="W52" s="2924"/>
      <c r="X52" s="2924"/>
      <c r="Y52" s="2924"/>
      <c r="Z52" s="2924"/>
      <c r="AA52" s="2924"/>
      <c r="AB52" s="2924"/>
      <c r="AC52" s="2924"/>
    </row>
    <row r="53" spans="1:29" ht="13.5" customHeight="1">
      <c r="A53" s="2924"/>
      <c r="B53" s="2924"/>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9"/>
      <c r="L53" s="2925"/>
      <c r="M53" s="2924"/>
      <c r="N53" s="2924"/>
      <c r="O53" s="2924"/>
      <c r="P53" s="2955"/>
      <c r="Q53" s="2924"/>
      <c r="R53" s="2924"/>
      <c r="S53" s="2924"/>
      <c r="T53" s="2924"/>
      <c r="U53" s="2924"/>
      <c r="V53" s="2924"/>
      <c r="W53" s="2924"/>
      <c r="X53" s="2924"/>
      <c r="Y53" s="2924"/>
      <c r="Z53" s="2924"/>
      <c r="AA53" s="2924"/>
      <c r="AB53" s="2924"/>
      <c r="AC53" s="2924"/>
    </row>
    <row r="54" spans="1:29" ht="13.5" customHeight="1">
      <c r="A54" s="2924"/>
      <c r="B54" s="2924"/>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9"/>
      <c r="L54" s="2925"/>
      <c r="M54" s="2924"/>
      <c r="N54" s="2924"/>
      <c r="O54" s="2924"/>
      <c r="P54" s="2955"/>
      <c r="Q54" s="2924"/>
      <c r="R54" s="2924"/>
      <c r="S54" s="2924"/>
      <c r="T54" s="2924"/>
      <c r="U54" s="2924"/>
      <c r="V54" s="2924"/>
      <c r="W54" s="2924"/>
      <c r="X54" s="2924"/>
      <c r="Y54" s="2924"/>
      <c r="Z54" s="2924"/>
      <c r="AA54" s="2924"/>
      <c r="AB54" s="2924"/>
      <c r="AC54" s="2924"/>
    </row>
    <row r="55" spans="1:29" s="459" customFormat="1" ht="13.5" customHeight="1">
      <c r="A55" s="2927"/>
      <c r="B55" s="2927"/>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2"/>
      <c r="L55" s="2926"/>
      <c r="M55" s="2927"/>
      <c r="N55" s="2927"/>
      <c r="O55" s="2927"/>
      <c r="P55" s="2956"/>
      <c r="Q55" s="2927"/>
      <c r="R55" s="2927"/>
      <c r="S55" s="2927"/>
      <c r="T55" s="2927"/>
      <c r="U55" s="2927"/>
      <c r="V55" s="2927"/>
      <c r="W55" s="2927"/>
      <c r="X55" s="2927"/>
      <c r="Y55" s="2927"/>
      <c r="Z55" s="2927"/>
      <c r="AA55" s="2927"/>
      <c r="AB55" s="2927"/>
      <c r="AC55" s="2927"/>
    </row>
    <row r="56" spans="1:29" s="459" customFormat="1">
      <c r="A56" s="2927"/>
      <c r="B56" s="2930"/>
      <c r="C56" s="2931"/>
      <c r="D56" s="2927"/>
      <c r="E56" s="2927"/>
      <c r="F56" s="2927"/>
      <c r="G56" s="2927"/>
      <c r="H56" s="2927"/>
      <c r="I56" s="2927"/>
      <c r="J56" s="2927"/>
      <c r="K56" s="2932"/>
      <c r="L56" s="2926"/>
      <c r="M56" s="2927"/>
      <c r="N56" s="2927"/>
      <c r="O56" s="2927"/>
      <c r="P56" s="2956"/>
      <c r="Q56" s="2927"/>
      <c r="R56" s="2927"/>
      <c r="S56" s="2927"/>
      <c r="T56" s="2927"/>
      <c r="U56" s="2927"/>
      <c r="V56" s="2927"/>
      <c r="W56" s="2927"/>
      <c r="X56" s="2927"/>
      <c r="Y56" s="2927"/>
      <c r="Z56" s="2927"/>
      <c r="AA56" s="2927"/>
      <c r="AB56" s="2927"/>
      <c r="AC56" s="2927"/>
    </row>
    <row r="57" spans="1:29">
      <c r="A57" s="2924"/>
      <c r="B57" s="2930"/>
      <c r="C57" s="2931"/>
      <c r="D57" s="2924"/>
      <c r="E57" s="2924"/>
      <c r="F57" s="2924"/>
      <c r="G57" s="2924"/>
      <c r="H57" s="2924"/>
      <c r="I57" s="2924"/>
      <c r="J57" s="2924"/>
      <c r="K57" s="2929"/>
      <c r="L57" s="2925"/>
      <c r="M57" s="2924"/>
      <c r="N57" s="2924"/>
      <c r="O57" s="2924"/>
      <c r="P57" s="2955"/>
      <c r="Q57" s="2924"/>
      <c r="R57" s="2924"/>
      <c r="S57" s="2924"/>
      <c r="T57" s="2924"/>
      <c r="U57" s="2924"/>
      <c r="V57" s="2924"/>
      <c r="W57" s="2924"/>
      <c r="X57" s="2924"/>
      <c r="Y57" s="2924"/>
      <c r="Z57" s="2924"/>
      <c r="AA57" s="2924"/>
      <c r="AB57" s="2924"/>
      <c r="AC57" s="2924"/>
    </row>
    <row r="58" spans="1:29" ht="21.75" thickBot="1">
      <c r="A58" s="703" t="s">
        <v>2435</v>
      </c>
      <c r="B58" s="699"/>
      <c r="C58" s="704"/>
      <c r="D58" s="704"/>
      <c r="E58" s="704"/>
      <c r="F58" s="705"/>
      <c r="G58" s="705"/>
      <c r="H58" s="704"/>
      <c r="I58" s="704"/>
      <c r="J58" s="704"/>
      <c r="K58" s="706"/>
      <c r="L58" s="1073"/>
      <c r="M58" s="1071"/>
      <c r="N58" s="2968"/>
      <c r="O58" s="2968"/>
      <c r="P58" s="2957"/>
      <c r="Q58" s="2938"/>
      <c r="R58" s="2924"/>
      <c r="S58" s="2924"/>
      <c r="T58" s="2924"/>
      <c r="U58" s="2924"/>
      <c r="V58" s="2924"/>
      <c r="W58" s="2924"/>
      <c r="X58" s="2924"/>
      <c r="Y58" s="2924"/>
      <c r="Z58" s="2924"/>
      <c r="AA58" s="2924"/>
      <c r="AB58" s="2924"/>
      <c r="AC58" s="2924"/>
    </row>
    <row r="59" spans="1:29" s="465" customFormat="1" ht="15">
      <c r="A59" s="462" t="s">
        <v>2309</v>
      </c>
      <c r="B59" s="463"/>
      <c r="C59" s="1318" t="str">
        <f>YEAR(C7)&amp;"-"&amp;MONTH(C7)</f>
        <v>2021-12</v>
      </c>
      <c r="D59" s="1319">
        <f>EDATE(C59,-1)</f>
        <v>44501</v>
      </c>
      <c r="E59" s="1319">
        <f>EDATE(D59,-1)</f>
        <v>44470</v>
      </c>
      <c r="F59" s="1319">
        <f t="shared" ref="F59:O59" si="16">EDATE(E59,-1)</f>
        <v>44440</v>
      </c>
      <c r="G59" s="1319">
        <f t="shared" si="16"/>
        <v>44409</v>
      </c>
      <c r="H59" s="1319">
        <f t="shared" si="16"/>
        <v>44378</v>
      </c>
      <c r="I59" s="1319">
        <f t="shared" si="16"/>
        <v>44348</v>
      </c>
      <c r="J59" s="1319">
        <f t="shared" si="16"/>
        <v>44317</v>
      </c>
      <c r="K59" s="1319">
        <f t="shared" si="16"/>
        <v>44287</v>
      </c>
      <c r="L59" s="1319">
        <f t="shared" si="16"/>
        <v>44256</v>
      </c>
      <c r="M59" s="1319">
        <f t="shared" si="16"/>
        <v>44228</v>
      </c>
      <c r="N59" s="1319">
        <f t="shared" si="16"/>
        <v>44197</v>
      </c>
      <c r="O59" s="1319">
        <f t="shared" si="16"/>
        <v>44166</v>
      </c>
      <c r="P59" s="2958"/>
      <c r="Q59" s="2940"/>
      <c r="R59" s="2940"/>
      <c r="S59" s="2940"/>
      <c r="T59" s="2940"/>
      <c r="U59" s="2940"/>
      <c r="V59" s="2940"/>
      <c r="W59" s="2940"/>
      <c r="X59" s="2940"/>
      <c r="Y59" s="2940"/>
      <c r="Z59" s="2940"/>
      <c r="AA59" s="2940"/>
      <c r="AB59" s="2940"/>
      <c r="AC59" s="2940"/>
    </row>
    <row r="60" spans="1:29" s="113" customFormat="1" ht="15">
      <c r="A60" s="466"/>
      <c r="B60" s="467"/>
      <c r="C60" s="1317">
        <v>100</v>
      </c>
      <c r="D60" s="469"/>
      <c r="E60" s="469"/>
      <c r="F60" s="469"/>
      <c r="G60" s="469"/>
      <c r="H60" s="469"/>
      <c r="I60" s="469"/>
      <c r="J60" s="469"/>
      <c r="K60" s="469"/>
      <c r="L60" s="469"/>
      <c r="M60" s="470"/>
      <c r="N60" s="469"/>
      <c r="O60" s="470"/>
      <c r="P60" s="2959"/>
      <c r="Q60" s="2858"/>
      <c r="R60" s="2858"/>
      <c r="S60" s="2858"/>
      <c r="T60" s="2858"/>
      <c r="U60" s="2858"/>
      <c r="V60" s="2858"/>
      <c r="W60" s="2858"/>
      <c r="X60" s="2858"/>
      <c r="Y60" s="2858"/>
      <c r="Z60" s="2858"/>
      <c r="AA60" s="2858"/>
      <c r="AB60" s="2858"/>
      <c r="AC60" s="2858"/>
    </row>
    <row r="61" spans="1:29" s="113" customFormat="1" ht="15.75" thickBot="1">
      <c r="A61" s="472" t="s">
        <v>2346</v>
      </c>
      <c r="B61" s="473"/>
      <c r="C61" s="474"/>
      <c r="D61" s="475"/>
      <c r="E61" s="475"/>
      <c r="F61" s="475"/>
      <c r="G61" s="475"/>
      <c r="H61" s="475"/>
      <c r="I61" s="475"/>
      <c r="J61" s="475"/>
      <c r="K61" s="475"/>
      <c r="L61" s="475"/>
      <c r="M61" s="476"/>
      <c r="N61" s="475"/>
      <c r="O61" s="476"/>
      <c r="P61" s="2959"/>
      <c r="Q61" s="2938"/>
      <c r="R61" s="2858"/>
      <c r="S61" s="2858"/>
      <c r="T61" s="2858"/>
      <c r="U61" s="2858"/>
      <c r="V61" s="2858"/>
      <c r="W61" s="2858"/>
      <c r="X61" s="2858"/>
      <c r="Y61" s="2858"/>
      <c r="Z61" s="2858"/>
      <c r="AA61" s="2858"/>
      <c r="AB61" s="2858"/>
      <c r="AC61" s="2858"/>
    </row>
    <row r="62" spans="1:29" s="113" customFormat="1" ht="15">
      <c r="A62" s="478" t="s">
        <v>2311</v>
      </c>
      <c r="B62" s="467"/>
      <c r="C62" s="479" t="s">
        <v>2413</v>
      </c>
      <c r="D62" s="480"/>
      <c r="E62" s="480"/>
      <c r="F62" s="480"/>
      <c r="G62" s="480"/>
      <c r="H62" s="480"/>
      <c r="I62" s="480"/>
      <c r="J62" s="480"/>
      <c r="K62" s="480"/>
      <c r="L62" s="481"/>
      <c r="M62" s="482"/>
      <c r="N62" s="2951"/>
      <c r="O62" s="2951"/>
      <c r="P62" s="2960"/>
      <c r="Q62" s="2938"/>
      <c r="R62" s="2858"/>
      <c r="S62" s="2858"/>
      <c r="T62" s="2858"/>
      <c r="U62" s="2858"/>
      <c r="V62" s="2858"/>
      <c r="W62" s="2858"/>
      <c r="X62" s="2858"/>
      <c r="Y62" s="2858"/>
      <c r="Z62" s="2858"/>
      <c r="AA62" s="2858"/>
      <c r="AB62" s="2858"/>
      <c r="AC62" s="2858"/>
    </row>
    <row r="63" spans="1:29" s="113" customFormat="1" ht="15.75" thickBot="1">
      <c r="A63" s="478"/>
      <c r="B63" s="467"/>
      <c r="C63" s="468">
        <v>100</v>
      </c>
      <c r="D63" s="469"/>
      <c r="E63" s="469"/>
      <c r="F63" s="469"/>
      <c r="G63" s="469"/>
      <c r="H63" s="469"/>
      <c r="I63" s="469"/>
      <c r="J63" s="469"/>
      <c r="K63" s="469"/>
      <c r="L63" s="469"/>
      <c r="M63" s="471"/>
      <c r="N63" s="2951"/>
      <c r="O63" s="2951"/>
      <c r="P63" s="2959"/>
      <c r="Q63" s="2938"/>
      <c r="R63" s="2858"/>
      <c r="S63" s="2858"/>
      <c r="T63" s="2858"/>
      <c r="U63" s="2858"/>
      <c r="V63" s="2858"/>
      <c r="W63" s="2858"/>
      <c r="X63" s="2858"/>
      <c r="Y63" s="2858"/>
      <c r="Z63" s="2858"/>
      <c r="AA63" s="2858"/>
      <c r="AB63" s="2858"/>
      <c r="AC63" s="2858"/>
    </row>
    <row r="64" spans="1:29">
      <c r="A64" s="484" t="s">
        <v>2349</v>
      </c>
      <c r="B64" s="485" t="s">
        <v>2315</v>
      </c>
      <c r="C64" s="486">
        <f>C9</f>
        <v>0</v>
      </c>
      <c r="D64" s="487"/>
      <c r="E64" s="487"/>
      <c r="F64" s="487"/>
      <c r="G64" s="487"/>
      <c r="H64" s="487"/>
      <c r="I64" s="487"/>
      <c r="J64" s="487"/>
      <c r="K64" s="488"/>
      <c r="L64" s="489"/>
      <c r="M64" s="490"/>
      <c r="N64" s="2952"/>
      <c r="O64" s="2952"/>
      <c r="P64" s="2961"/>
      <c r="Q64" s="2938"/>
      <c r="R64" s="2924"/>
      <c r="S64" s="2924"/>
      <c r="T64" s="2924"/>
      <c r="U64" s="2924"/>
      <c r="V64" s="2924"/>
      <c r="W64" s="2924"/>
      <c r="X64" s="2924"/>
      <c r="Y64" s="2924"/>
      <c r="Z64" s="2924"/>
      <c r="AA64" s="2924"/>
      <c r="AB64" s="2924"/>
      <c r="AC64" s="2924"/>
    </row>
    <row r="65" spans="1:29" ht="15.75" thickBot="1">
      <c r="A65" s="491"/>
      <c r="B65" s="492"/>
      <c r="C65" s="493">
        <v>100</v>
      </c>
      <c r="D65" s="493"/>
      <c r="E65" s="493"/>
      <c r="F65" s="493"/>
      <c r="G65" s="493"/>
      <c r="H65" s="493"/>
      <c r="I65" s="493"/>
      <c r="J65" s="493"/>
      <c r="K65" s="493"/>
      <c r="L65" s="493"/>
      <c r="M65" s="494"/>
      <c r="N65" s="2953"/>
      <c r="O65" s="2953"/>
      <c r="P65" s="2961"/>
      <c r="Q65" s="2938"/>
      <c r="R65" s="2924"/>
      <c r="S65" s="2924"/>
      <c r="T65" s="2924"/>
      <c r="U65" s="2924"/>
      <c r="V65" s="2924"/>
      <c r="W65" s="2924"/>
      <c r="X65" s="2924"/>
      <c r="Y65" s="2924"/>
      <c r="Z65" s="2924"/>
      <c r="AA65" s="2924"/>
      <c r="AB65" s="2924"/>
      <c r="AC65" s="2924"/>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2"/>
      <c r="O66" s="2952"/>
      <c r="P66" s="2961"/>
      <c r="Q66" s="2938"/>
      <c r="R66" s="2924"/>
      <c r="S66" s="2924"/>
      <c r="T66" s="2924"/>
      <c r="U66" s="2924"/>
      <c r="V66" s="2924"/>
      <c r="W66" s="2924"/>
      <c r="X66" s="2924"/>
      <c r="Y66" s="2924"/>
      <c r="Z66" s="2924"/>
      <c r="AA66" s="2924"/>
      <c r="AB66" s="2924"/>
      <c r="AC66" s="292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3"/>
      <c r="O67" s="2953"/>
      <c r="P67" s="2961"/>
      <c r="Q67" s="2938"/>
      <c r="R67" s="2924"/>
      <c r="S67" s="2924"/>
      <c r="T67" s="2924"/>
      <c r="U67" s="2924"/>
      <c r="V67" s="2924"/>
      <c r="W67" s="2924"/>
      <c r="X67" s="2924"/>
      <c r="Y67" s="2924"/>
      <c r="Z67" s="2924"/>
      <c r="AA67" s="2924"/>
      <c r="AB67" s="2924"/>
      <c r="AC67" s="2924"/>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3"/>
      <c r="O68" s="2953"/>
      <c r="P68" s="2961"/>
      <c r="Q68" s="2938"/>
      <c r="R68" s="2924"/>
      <c r="S68" s="2924"/>
      <c r="T68" s="2924"/>
      <c r="U68" s="2924"/>
      <c r="V68" s="2924"/>
      <c r="W68" s="2924"/>
      <c r="X68" s="2924"/>
      <c r="Y68" s="2924"/>
      <c r="Z68" s="2924"/>
      <c r="AA68" s="2924"/>
      <c r="AB68" s="2924"/>
      <c r="AC68" s="2924"/>
    </row>
    <row r="69" spans="1:29" ht="15">
      <c r="A69" s="491"/>
      <c r="B69" s="505"/>
      <c r="C69" s="506"/>
      <c r="D69" s="506"/>
      <c r="E69" s="506"/>
      <c r="F69" s="506"/>
      <c r="G69" s="506"/>
      <c r="H69" s="506"/>
      <c r="I69" s="506"/>
      <c r="J69" s="506"/>
      <c r="K69" s="507"/>
      <c r="L69" s="508"/>
      <c r="M69" s="509"/>
      <c r="N69" s="2952"/>
      <c r="O69" s="2952"/>
      <c r="P69" s="2961"/>
      <c r="Q69" s="2938"/>
      <c r="R69" s="2924"/>
      <c r="S69" s="2924"/>
      <c r="T69" s="2924"/>
      <c r="U69" s="2924"/>
      <c r="V69" s="2924"/>
      <c r="W69" s="2924"/>
      <c r="X69" s="2924"/>
      <c r="Y69" s="2924"/>
      <c r="Z69" s="2924"/>
      <c r="AA69" s="2924"/>
      <c r="AB69" s="2924"/>
      <c r="AC69" s="292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3"/>
      <c r="O70" s="2953"/>
      <c r="P70" s="2961"/>
      <c r="Q70" s="2938"/>
      <c r="R70" s="2924"/>
      <c r="S70" s="2924"/>
      <c r="T70" s="2924"/>
      <c r="U70" s="2924"/>
      <c r="V70" s="2924"/>
      <c r="W70" s="2924"/>
      <c r="X70" s="2924"/>
      <c r="Y70" s="2924"/>
      <c r="Z70" s="2924"/>
      <c r="AA70" s="2924"/>
      <c r="AB70" s="2924"/>
      <c r="AC70" s="2924"/>
    </row>
    <row r="71" spans="1:29" s="430" customFormat="1" ht="15.75" thickTop="1">
      <c r="A71" s="510"/>
      <c r="B71" s="495">
        <f>B12</f>
        <v>111</v>
      </c>
      <c r="C71" s="511"/>
      <c r="D71" s="511"/>
      <c r="E71" s="511"/>
      <c r="F71" s="511"/>
      <c r="G71" s="511"/>
      <c r="H71" s="512"/>
      <c r="I71" s="512"/>
      <c r="J71" s="512"/>
      <c r="K71" s="512"/>
      <c r="L71" s="513"/>
      <c r="M71" s="514"/>
      <c r="N71" s="2954"/>
      <c r="O71" s="2954"/>
      <c r="P71" s="2962"/>
      <c r="Q71" s="2945"/>
      <c r="R71" s="2946"/>
      <c r="S71" s="2946"/>
      <c r="T71" s="2946"/>
      <c r="U71" s="2946"/>
      <c r="V71" s="2946"/>
      <c r="W71" s="2946"/>
      <c r="X71" s="2946"/>
      <c r="Y71" s="2946"/>
      <c r="Z71" s="2946"/>
      <c r="AA71" s="2946"/>
      <c r="AB71" s="2946"/>
      <c r="AC71" s="2946"/>
    </row>
    <row r="72" spans="1:29" s="430" customFormat="1" ht="15.75" thickBot="1">
      <c r="A72" s="510"/>
      <c r="B72" s="500"/>
      <c r="C72" s="517"/>
      <c r="D72" s="493"/>
      <c r="E72" s="493"/>
      <c r="F72" s="493"/>
      <c r="G72" s="493"/>
      <c r="H72" s="493"/>
      <c r="I72" s="493"/>
      <c r="J72" s="493"/>
      <c r="K72" s="493"/>
      <c r="L72" s="493"/>
      <c r="M72" s="494"/>
      <c r="N72" s="2953"/>
      <c r="O72" s="2953"/>
      <c r="P72" s="2962"/>
      <c r="Q72" s="2945"/>
      <c r="R72" s="2946"/>
      <c r="S72" s="2946"/>
      <c r="T72" s="2946"/>
      <c r="U72" s="2946"/>
      <c r="V72" s="2946"/>
      <c r="W72" s="2946"/>
      <c r="X72" s="2946"/>
      <c r="Y72" s="2946"/>
      <c r="Z72" s="2946"/>
      <c r="AA72" s="2946"/>
      <c r="AB72" s="2946"/>
      <c r="AC72" s="2946"/>
    </row>
    <row r="73" spans="1:29" s="430" customFormat="1" ht="15.75" thickTop="1">
      <c r="A73" s="510"/>
      <c r="B73" s="495">
        <f>B13</f>
        <v>111</v>
      </c>
      <c r="C73" s="511"/>
      <c r="D73" s="511"/>
      <c r="E73" s="511"/>
      <c r="F73" s="511"/>
      <c r="G73" s="511"/>
      <c r="H73" s="512"/>
      <c r="I73" s="512"/>
      <c r="J73" s="512"/>
      <c r="K73" s="512"/>
      <c r="L73" s="513"/>
      <c r="M73" s="514"/>
      <c r="N73" s="2954"/>
      <c r="O73" s="2954"/>
      <c r="P73" s="2963"/>
      <c r="Q73" s="2948"/>
      <c r="R73" s="2946"/>
      <c r="S73" s="2946"/>
      <c r="T73" s="2946"/>
      <c r="U73" s="2946"/>
      <c r="V73" s="2946"/>
      <c r="W73" s="2946"/>
      <c r="X73" s="2946"/>
      <c r="Y73" s="2946"/>
      <c r="Z73" s="2946"/>
      <c r="AA73" s="2946"/>
      <c r="AB73" s="2946"/>
      <c r="AC73" s="2946"/>
    </row>
    <row r="74" spans="1:29" s="430" customFormat="1" ht="15.75" thickBot="1">
      <c r="A74" s="510"/>
      <c r="B74" s="500"/>
      <c r="C74" s="517"/>
      <c r="D74" s="517"/>
      <c r="E74" s="517"/>
      <c r="F74" s="517"/>
      <c r="G74" s="517"/>
      <c r="H74" s="519"/>
      <c r="I74" s="519"/>
      <c r="J74" s="519"/>
      <c r="K74" s="519"/>
      <c r="L74" s="519"/>
      <c r="M74" s="520"/>
      <c r="N74" s="2954"/>
      <c r="O74" s="2954"/>
      <c r="P74" s="2962"/>
      <c r="Q74" s="2945"/>
      <c r="R74" s="2946"/>
      <c r="S74" s="2946"/>
      <c r="T74" s="2946"/>
      <c r="U74" s="2946"/>
      <c r="V74" s="2946"/>
      <c r="W74" s="2946"/>
      <c r="X74" s="2946"/>
      <c r="Y74" s="2946"/>
      <c r="Z74" s="2946"/>
      <c r="AA74" s="2946"/>
      <c r="AB74" s="2946"/>
      <c r="AC74" s="2946"/>
    </row>
    <row r="75" spans="1:29" s="430" customFormat="1" ht="15.75" thickTop="1">
      <c r="A75" s="510"/>
      <c r="B75" s="503">
        <f>B14</f>
        <v>111</v>
      </c>
      <c r="C75" s="480"/>
      <c r="D75" s="480"/>
      <c r="E75" s="480"/>
      <c r="F75" s="480"/>
      <c r="G75" s="480"/>
      <c r="H75" s="521"/>
      <c r="I75" s="521"/>
      <c r="J75" s="521"/>
      <c r="K75" s="521"/>
      <c r="L75" s="522"/>
      <c r="M75" s="523"/>
      <c r="N75" s="2954"/>
      <c r="O75" s="2954"/>
      <c r="P75" s="2964"/>
      <c r="Q75" s="2945"/>
      <c r="R75" s="2946"/>
      <c r="S75" s="2946"/>
      <c r="T75" s="2946"/>
      <c r="U75" s="2946"/>
      <c r="V75" s="2946"/>
      <c r="W75" s="2946"/>
      <c r="X75" s="2946"/>
      <c r="Y75" s="2946"/>
      <c r="Z75" s="2946"/>
      <c r="AA75" s="2946"/>
      <c r="AB75" s="2946"/>
      <c r="AC75" s="2946"/>
    </row>
    <row r="76" spans="1:29" s="430" customFormat="1" ht="15.75" thickBot="1">
      <c r="A76" s="525"/>
      <c r="B76" s="526"/>
      <c r="C76" s="527"/>
      <c r="D76" s="527"/>
      <c r="E76" s="527"/>
      <c r="F76" s="527"/>
      <c r="G76" s="527"/>
      <c r="H76" s="528"/>
      <c r="I76" s="528"/>
      <c r="J76" s="528"/>
      <c r="K76" s="528"/>
      <c r="L76" s="528"/>
      <c r="M76" s="529"/>
      <c r="N76" s="2954"/>
      <c r="O76" s="2954"/>
      <c r="P76" s="2962"/>
      <c r="Q76" s="2945"/>
      <c r="R76" s="2946"/>
      <c r="S76" s="2946"/>
      <c r="T76" s="2946"/>
      <c r="U76" s="2946"/>
      <c r="V76" s="2946"/>
      <c r="W76" s="2946"/>
      <c r="X76" s="2946"/>
      <c r="Y76" s="2946"/>
      <c r="Z76" s="2946"/>
      <c r="AA76" s="2946"/>
      <c r="AB76" s="2946"/>
      <c r="AC76" s="2946"/>
    </row>
    <row r="77" spans="1:29">
      <c r="A77" s="484" t="s">
        <v>2320</v>
      </c>
      <c r="B77" s="485" t="s">
        <v>2458</v>
      </c>
      <c r="C77" s="530" t="s">
        <v>2358</v>
      </c>
      <c r="D77" s="530" t="s">
        <v>2359</v>
      </c>
      <c r="E77" s="530" t="s">
        <v>2360</v>
      </c>
      <c r="F77" s="530" t="s">
        <v>2361</v>
      </c>
      <c r="G77" s="530" t="s">
        <v>2362</v>
      </c>
      <c r="H77" s="486"/>
      <c r="I77" s="486"/>
      <c r="J77" s="486"/>
      <c r="K77" s="531"/>
      <c r="L77" s="532"/>
      <c r="M77" s="533"/>
      <c r="N77" s="2952"/>
      <c r="O77" s="2952"/>
      <c r="P77" s="2965"/>
      <c r="Q77" s="2938"/>
      <c r="R77" s="2924"/>
      <c r="S77" s="2924"/>
      <c r="T77" s="2924"/>
      <c r="U77" s="2924"/>
      <c r="V77" s="2924"/>
      <c r="W77" s="2924"/>
      <c r="X77" s="2924"/>
      <c r="Y77" s="2924"/>
      <c r="Z77" s="2924"/>
      <c r="AA77" s="2924"/>
      <c r="AB77" s="2924"/>
      <c r="AC77" s="292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3"/>
      <c r="O78" s="2953"/>
      <c r="P78" s="2961"/>
      <c r="Q78" s="2938"/>
      <c r="R78" s="2924"/>
      <c r="S78" s="2924"/>
      <c r="T78" s="2924"/>
      <c r="U78" s="2924"/>
      <c r="V78" s="2924"/>
      <c r="W78" s="2924"/>
      <c r="X78" s="2924"/>
      <c r="Y78" s="2924"/>
      <c r="Z78" s="2924"/>
      <c r="AA78" s="2924"/>
      <c r="AB78" s="2924"/>
      <c r="AC78" s="2924"/>
    </row>
    <row r="79" spans="1:29" ht="15.75" thickTop="1">
      <c r="A79" s="491"/>
      <c r="B79" s="495" t="s">
        <v>2363</v>
      </c>
      <c r="C79" s="535" t="s">
        <v>2358</v>
      </c>
      <c r="D79" s="535" t="s">
        <v>2359</v>
      </c>
      <c r="E79" s="535" t="s">
        <v>2360</v>
      </c>
      <c r="F79" s="535" t="s">
        <v>2361</v>
      </c>
      <c r="G79" s="535" t="s">
        <v>2362</v>
      </c>
      <c r="H79" s="496"/>
      <c r="I79" s="496"/>
      <c r="J79" s="496"/>
      <c r="K79" s="497"/>
      <c r="L79" s="498"/>
      <c r="M79" s="499"/>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3"/>
      <c r="O80" s="2953"/>
      <c r="P80" s="2961"/>
      <c r="Q80" s="2938"/>
      <c r="R80" s="2924"/>
      <c r="S80" s="2924"/>
      <c r="T80" s="2924"/>
      <c r="U80" s="2924"/>
      <c r="V80" s="2924"/>
      <c r="W80" s="2924"/>
      <c r="X80" s="2924"/>
      <c r="Y80" s="2924"/>
      <c r="Z80" s="2924"/>
      <c r="AA80" s="2924"/>
      <c r="AB80" s="2924"/>
      <c r="AC80" s="2924"/>
    </row>
    <row r="81" spans="1:29" ht="15.75" thickTop="1">
      <c r="A81" s="491"/>
      <c r="B81" s="495" t="s">
        <v>2364</v>
      </c>
      <c r="C81" s="535" t="s">
        <v>2358</v>
      </c>
      <c r="D81" s="535" t="s">
        <v>2359</v>
      </c>
      <c r="E81" s="535" t="s">
        <v>2360</v>
      </c>
      <c r="F81" s="535" t="s">
        <v>2361</v>
      </c>
      <c r="G81" s="535" t="s">
        <v>2362</v>
      </c>
      <c r="H81" s="496"/>
      <c r="I81" s="496"/>
      <c r="J81" s="496"/>
      <c r="K81" s="497"/>
      <c r="L81" s="498"/>
      <c r="M81" s="499"/>
      <c r="N81" s="2952"/>
      <c r="O81" s="2952"/>
      <c r="P81" s="2961"/>
      <c r="Q81" s="2938"/>
      <c r="R81" s="2924"/>
      <c r="S81" s="2924"/>
      <c r="T81" s="2924"/>
      <c r="U81" s="2924"/>
      <c r="V81" s="2924"/>
      <c r="W81" s="2924"/>
      <c r="X81" s="2924"/>
      <c r="Y81" s="2924"/>
      <c r="Z81" s="2924"/>
      <c r="AA81" s="2924"/>
      <c r="AB81" s="2924"/>
      <c r="AC81" s="292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3"/>
      <c r="O82" s="2953"/>
      <c r="P82" s="2961"/>
      <c r="Q82" s="2938"/>
      <c r="R82" s="2924"/>
      <c r="S82" s="2924"/>
      <c r="T82" s="2924"/>
      <c r="U82" s="2924"/>
      <c r="V82" s="2924"/>
      <c r="W82" s="2924"/>
      <c r="X82" s="2924"/>
      <c r="Y82" s="2924"/>
      <c r="Z82" s="2924"/>
      <c r="AA82" s="2924"/>
      <c r="AB82" s="2924"/>
      <c r="AC82" s="2924"/>
    </row>
    <row r="83" spans="1:29" ht="15.75" thickTop="1">
      <c r="A83" s="491"/>
      <c r="B83" s="503" t="s">
        <v>2450</v>
      </c>
      <c r="C83" s="616" t="s">
        <v>2436</v>
      </c>
      <c r="D83" s="616" t="s">
        <v>2437</v>
      </c>
      <c r="E83" s="616" t="s">
        <v>2438</v>
      </c>
      <c r="F83" s="616" t="s">
        <v>2439</v>
      </c>
      <c r="G83" s="616" t="s">
        <v>2440</v>
      </c>
      <c r="H83" s="496"/>
      <c r="I83" s="496"/>
      <c r="J83" s="496"/>
      <c r="K83" s="496"/>
      <c r="L83" s="496"/>
      <c r="M83" s="1263"/>
      <c r="N83" s="2953"/>
      <c r="O83" s="2953"/>
      <c r="P83" s="2961"/>
      <c r="Q83" s="2938"/>
      <c r="R83" s="2924"/>
      <c r="S83" s="2924"/>
      <c r="T83" s="2924"/>
      <c r="U83" s="2924"/>
      <c r="V83" s="2924"/>
      <c r="W83" s="2924"/>
      <c r="X83" s="2924"/>
      <c r="Y83" s="2924"/>
      <c r="Z83" s="2924"/>
      <c r="AA83" s="2924"/>
      <c r="AB83" s="2924"/>
      <c r="AC83" s="292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3"/>
      <c r="O84" s="2953"/>
      <c r="P84" s="2961"/>
      <c r="Q84" s="2938"/>
      <c r="R84" s="2924"/>
      <c r="S84" s="2924"/>
      <c r="T84" s="2924"/>
      <c r="U84" s="2924"/>
      <c r="V84" s="2924"/>
      <c r="W84" s="2924"/>
      <c r="X84" s="2924"/>
      <c r="Y84" s="2924"/>
      <c r="Z84" s="2924"/>
      <c r="AA84" s="2924"/>
      <c r="AB84" s="2924"/>
      <c r="AC84" s="2924"/>
    </row>
    <row r="85" spans="1:29" ht="15.75" thickTop="1">
      <c r="A85" s="491"/>
      <c r="B85" s="495" t="s">
        <v>2459</v>
      </c>
      <c r="C85" s="535" t="s">
        <v>2358</v>
      </c>
      <c r="D85" s="535" t="s">
        <v>2359</v>
      </c>
      <c r="E85" s="535" t="s">
        <v>2360</v>
      </c>
      <c r="F85" s="535" t="s">
        <v>2361</v>
      </c>
      <c r="G85" s="535" t="s">
        <v>2362</v>
      </c>
      <c r="H85" s="496"/>
      <c r="I85" s="496"/>
      <c r="J85" s="496"/>
      <c r="K85" s="497"/>
      <c r="L85" s="498"/>
      <c r="M85" s="499"/>
      <c r="N85" s="2952"/>
      <c r="O85" s="2952"/>
      <c r="P85" s="2961"/>
      <c r="Q85" s="2938"/>
      <c r="R85" s="2924"/>
      <c r="S85" s="2924"/>
      <c r="T85" s="2924"/>
      <c r="U85" s="2924"/>
      <c r="V85" s="2924"/>
      <c r="W85" s="2924"/>
      <c r="X85" s="2924"/>
      <c r="Y85" s="2924"/>
      <c r="Z85" s="2924"/>
      <c r="AA85" s="2924"/>
      <c r="AB85" s="2924"/>
      <c r="AC85" s="292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3"/>
      <c r="O86" s="2953"/>
      <c r="P86" s="2961"/>
      <c r="Q86" s="2938"/>
      <c r="R86" s="2924"/>
      <c r="S86" s="2924"/>
      <c r="T86" s="2924"/>
      <c r="U86" s="2924"/>
      <c r="V86" s="2924"/>
      <c r="W86" s="2924"/>
      <c r="X86" s="2924"/>
      <c r="Y86" s="2924"/>
      <c r="Z86" s="2924"/>
      <c r="AA86" s="2924"/>
      <c r="AB86" s="2924"/>
      <c r="AC86" s="2924"/>
    </row>
    <row r="87" spans="1:29" s="113" customFormat="1" ht="27.75" thickTop="1">
      <c r="A87" s="536"/>
      <c r="B87" s="495" t="s">
        <v>2460</v>
      </c>
      <c r="C87" s="511"/>
      <c r="D87" s="511"/>
      <c r="E87" s="511"/>
      <c r="F87" s="511"/>
      <c r="G87" s="511"/>
      <c r="H87" s="511"/>
      <c r="I87" s="511"/>
      <c r="J87" s="511"/>
      <c r="K87" s="511"/>
      <c r="L87" s="537"/>
      <c r="M87" s="538"/>
      <c r="N87" s="2951"/>
      <c r="O87" s="2951"/>
      <c r="P87" s="2961"/>
      <c r="Q87" s="2938"/>
      <c r="R87" s="2858"/>
      <c r="S87" s="2858"/>
      <c r="T87" s="2858"/>
      <c r="U87" s="2858"/>
      <c r="V87" s="2858"/>
      <c r="W87" s="2858"/>
      <c r="X87" s="2858"/>
      <c r="Y87" s="2858"/>
      <c r="Z87" s="2858"/>
      <c r="AA87" s="2858"/>
      <c r="AB87" s="2858"/>
      <c r="AC87" s="285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3"/>
      <c r="O88" s="2953"/>
      <c r="P88" s="2961"/>
      <c r="Q88" s="2938"/>
      <c r="R88" s="2858"/>
      <c r="S88" s="2858"/>
      <c r="T88" s="2858"/>
      <c r="U88" s="2858"/>
      <c r="V88" s="2858"/>
      <c r="W88" s="2858"/>
      <c r="X88" s="2858"/>
      <c r="Y88" s="2858"/>
      <c r="Z88" s="2858"/>
      <c r="AA88" s="2858"/>
      <c r="AB88" s="2858"/>
      <c r="AC88" s="2858"/>
    </row>
    <row r="89" spans="1:29" s="113" customFormat="1" ht="15.75" thickTop="1">
      <c r="A89" s="536"/>
      <c r="B89" s="495" t="str">
        <f>B27</f>
        <v>楼层</v>
      </c>
      <c r="C89" s="511"/>
      <c r="D89" s="511"/>
      <c r="E89" s="511"/>
      <c r="F89" s="2083"/>
      <c r="G89" s="511"/>
      <c r="H89" s="511"/>
      <c r="I89" s="511"/>
      <c r="J89" s="511"/>
      <c r="K89" s="511"/>
      <c r="L89" s="511"/>
      <c r="M89" s="538"/>
      <c r="N89" s="2951"/>
      <c r="O89" s="2951"/>
      <c r="P89" s="2961"/>
      <c r="Q89" s="2938"/>
      <c r="R89" s="2858"/>
      <c r="S89" s="2858"/>
      <c r="T89" s="2858"/>
      <c r="U89" s="2858"/>
      <c r="V89" s="2858"/>
      <c r="W89" s="2858"/>
      <c r="X89" s="2858"/>
      <c r="Y89" s="2858"/>
      <c r="Z89" s="2858"/>
      <c r="AA89" s="2858"/>
      <c r="AB89" s="2858"/>
      <c r="AC89" s="285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3"/>
      <c r="O90" s="2953"/>
      <c r="P90" s="2961"/>
      <c r="Q90" s="2938"/>
      <c r="R90" s="2858"/>
      <c r="S90" s="2858"/>
      <c r="T90" s="2858"/>
      <c r="U90" s="2858"/>
      <c r="V90" s="2858"/>
      <c r="W90" s="2858"/>
      <c r="X90" s="2858"/>
      <c r="Y90" s="2858"/>
      <c r="Z90" s="2858"/>
      <c r="AA90" s="2858"/>
      <c r="AB90" s="2858"/>
      <c r="AC90" s="2858"/>
    </row>
    <row r="91" spans="1:29" s="430" customFormat="1" ht="15.75" thickTop="1">
      <c r="A91" s="510"/>
      <c r="B91" s="495" t="str">
        <f>B28</f>
        <v>朝向</v>
      </c>
      <c r="C91" s="511"/>
      <c r="D91" s="511"/>
      <c r="E91" s="511"/>
      <c r="F91" s="511"/>
      <c r="G91" s="511"/>
      <c r="H91" s="512"/>
      <c r="I91" s="512"/>
      <c r="J91" s="512"/>
      <c r="K91" s="512"/>
      <c r="L91" s="513"/>
      <c r="M91" s="514"/>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4"/>
      <c r="O92" s="2954"/>
      <c r="P92" s="2962"/>
      <c r="Q92" s="2945"/>
      <c r="R92" s="2946"/>
      <c r="S92" s="2946"/>
      <c r="T92" s="2946"/>
      <c r="U92" s="2946"/>
      <c r="V92" s="2946"/>
      <c r="W92" s="2946"/>
      <c r="X92" s="2946"/>
      <c r="Y92" s="2946"/>
      <c r="Z92" s="2946"/>
      <c r="AA92" s="2946"/>
      <c r="AB92" s="2946"/>
      <c r="AC92" s="2946"/>
    </row>
    <row r="93" spans="1:29" ht="15.75" thickTop="1">
      <c r="A93" s="491"/>
      <c r="B93" s="495">
        <f>B29</f>
        <v>111</v>
      </c>
      <c r="C93" s="511"/>
      <c r="D93" s="511"/>
      <c r="E93" s="511"/>
      <c r="F93" s="511"/>
      <c r="G93" s="511"/>
      <c r="H93" s="511"/>
      <c r="I93" s="511"/>
      <c r="J93" s="511"/>
      <c r="K93" s="511"/>
      <c r="L93" s="537"/>
      <c r="M93" s="538"/>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17"/>
      <c r="D94" s="493"/>
      <c r="E94" s="493"/>
      <c r="F94" s="493"/>
      <c r="G94" s="493"/>
      <c r="H94" s="493"/>
      <c r="I94" s="493"/>
      <c r="J94" s="493"/>
      <c r="K94" s="493"/>
      <c r="L94" s="493"/>
      <c r="M94" s="494"/>
      <c r="N94" s="2953"/>
      <c r="O94" s="2953"/>
      <c r="P94" s="2961"/>
      <c r="Q94" s="2938"/>
      <c r="R94" s="2924"/>
      <c r="S94" s="2924"/>
      <c r="T94" s="2924"/>
      <c r="U94" s="2924"/>
      <c r="V94" s="2924"/>
      <c r="W94" s="2924"/>
      <c r="X94" s="2924"/>
      <c r="Y94" s="2924"/>
      <c r="Z94" s="2924"/>
      <c r="AA94" s="2924"/>
      <c r="AB94" s="2924"/>
      <c r="AC94" s="2924"/>
    </row>
    <row r="95" spans="1:29" ht="15.75" thickTop="1">
      <c r="A95" s="491"/>
      <c r="B95" s="495">
        <f>B30</f>
        <v>111</v>
      </c>
      <c r="C95" s="511"/>
      <c r="D95" s="511"/>
      <c r="E95" s="511"/>
      <c r="F95" s="511"/>
      <c r="G95" s="540"/>
      <c r="H95" s="540"/>
      <c r="I95" s="540"/>
      <c r="J95" s="540"/>
      <c r="K95" s="541"/>
      <c r="L95" s="542"/>
      <c r="M95" s="543"/>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17"/>
      <c r="D96" s="517"/>
      <c r="E96" s="517"/>
      <c r="F96" s="517"/>
      <c r="G96" s="493"/>
      <c r="H96" s="493"/>
      <c r="I96" s="493"/>
      <c r="J96" s="493"/>
      <c r="K96" s="493"/>
      <c r="L96" s="493"/>
      <c r="M96" s="494"/>
      <c r="N96" s="2953"/>
      <c r="O96" s="2953"/>
      <c r="P96" s="2961"/>
      <c r="Q96" s="2938"/>
      <c r="R96" s="2924"/>
      <c r="S96" s="2924"/>
      <c r="T96" s="2924"/>
      <c r="U96" s="2924"/>
      <c r="V96" s="2924"/>
      <c r="W96" s="2924"/>
      <c r="X96" s="2924"/>
      <c r="Y96" s="2924"/>
      <c r="Z96" s="2924"/>
      <c r="AA96" s="2924"/>
      <c r="AB96" s="2924"/>
      <c r="AC96" s="2924"/>
    </row>
    <row r="97" spans="1:29" ht="15.75" thickTop="1">
      <c r="A97" s="491"/>
      <c r="B97" s="495">
        <f>B31</f>
        <v>111</v>
      </c>
      <c r="C97" s="511"/>
      <c r="D97" s="511"/>
      <c r="E97" s="511"/>
      <c r="F97" s="511"/>
      <c r="G97" s="540"/>
      <c r="H97" s="540"/>
      <c r="I97" s="540"/>
      <c r="J97" s="540"/>
      <c r="K97" s="541"/>
      <c r="L97" s="542"/>
      <c r="M97" s="543"/>
      <c r="N97" s="2952"/>
      <c r="O97" s="2952"/>
      <c r="P97" s="2961"/>
      <c r="Q97" s="2938"/>
      <c r="R97" s="2924"/>
      <c r="S97" s="2924"/>
      <c r="T97" s="2924"/>
      <c r="U97" s="2924"/>
      <c r="V97" s="2924"/>
      <c r="W97" s="2924"/>
      <c r="X97" s="2924"/>
      <c r="Y97" s="2924"/>
      <c r="Z97" s="2924"/>
      <c r="AA97" s="2924"/>
      <c r="AB97" s="2924"/>
      <c r="AC97" s="2924"/>
    </row>
    <row r="98" spans="1:29" ht="15.75" thickBot="1">
      <c r="A98" s="491"/>
      <c r="B98" s="500"/>
      <c r="C98" s="517"/>
      <c r="D98" s="493"/>
      <c r="E98" s="493"/>
      <c r="F98" s="493"/>
      <c r="G98" s="493"/>
      <c r="H98" s="493"/>
      <c r="I98" s="493"/>
      <c r="J98" s="493"/>
      <c r="K98" s="493"/>
      <c r="L98" s="493"/>
      <c r="M98" s="494"/>
      <c r="N98" s="2953"/>
      <c r="O98" s="2953"/>
      <c r="P98" s="2961"/>
      <c r="Q98" s="2938"/>
      <c r="R98" s="2924"/>
      <c r="S98" s="2924"/>
      <c r="T98" s="2924"/>
      <c r="U98" s="2924"/>
      <c r="V98" s="2924"/>
      <c r="W98" s="2924"/>
      <c r="X98" s="2924"/>
      <c r="Y98" s="2924"/>
      <c r="Z98" s="2924"/>
      <c r="AA98" s="2924"/>
      <c r="AB98" s="2924"/>
      <c r="AC98" s="2924"/>
    </row>
    <row r="99" spans="1:29" ht="15.75" thickTop="1">
      <c r="A99" s="491"/>
      <c r="B99" s="503">
        <f>B32</f>
        <v>111</v>
      </c>
      <c r="C99" s="480"/>
      <c r="D99" s="480"/>
      <c r="E99" s="480"/>
      <c r="F99" s="480"/>
      <c r="G99" s="544"/>
      <c r="H99" s="544"/>
      <c r="I99" s="544"/>
      <c r="J99" s="544"/>
      <c r="K99" s="545"/>
      <c r="L99" s="546"/>
      <c r="M99" s="547"/>
      <c r="N99" s="2952"/>
      <c r="O99" s="2952"/>
      <c r="P99" s="2961"/>
      <c r="Q99" s="2938"/>
      <c r="R99" s="2924"/>
      <c r="S99" s="2924"/>
      <c r="T99" s="2924"/>
      <c r="U99" s="2924"/>
      <c r="V99" s="2924"/>
      <c r="W99" s="2924"/>
      <c r="X99" s="2924"/>
      <c r="Y99" s="2924"/>
      <c r="Z99" s="2924"/>
      <c r="AA99" s="2924"/>
      <c r="AB99" s="2924"/>
      <c r="AC99" s="2924"/>
    </row>
    <row r="100" spans="1:29" ht="15.75" thickBot="1">
      <c r="A100" s="2084"/>
      <c r="B100" s="526"/>
      <c r="C100" s="527"/>
      <c r="D100" s="527"/>
      <c r="E100" s="527"/>
      <c r="F100" s="527"/>
      <c r="G100" s="548"/>
      <c r="H100" s="548"/>
      <c r="I100" s="548"/>
      <c r="J100" s="548"/>
      <c r="K100" s="548"/>
      <c r="L100" s="548"/>
      <c r="M100" s="549"/>
      <c r="N100" s="2953"/>
      <c r="O100" s="2953"/>
      <c r="P100" s="2961"/>
      <c r="Q100" s="2938"/>
      <c r="R100" s="2924"/>
      <c r="S100" s="2924"/>
      <c r="T100" s="2924"/>
      <c r="U100" s="2924"/>
      <c r="V100" s="2924"/>
      <c r="W100" s="2924"/>
      <c r="X100" s="2924"/>
      <c r="Y100" s="2924"/>
      <c r="Z100" s="2924"/>
      <c r="AA100" s="2924"/>
      <c r="AB100" s="2924"/>
      <c r="AC100" s="2924"/>
    </row>
    <row r="101" spans="1:29">
      <c r="A101" s="484" t="s">
        <v>2324</v>
      </c>
      <c r="B101" s="485" t="s">
        <v>2373</v>
      </c>
      <c r="C101" s="487"/>
      <c r="D101" s="487"/>
      <c r="E101" s="487"/>
      <c r="F101" s="487"/>
      <c r="G101" s="487"/>
      <c r="H101" s="487"/>
      <c r="I101" s="487"/>
      <c r="J101" s="487"/>
      <c r="K101" s="488"/>
      <c r="L101" s="489"/>
      <c r="M101" s="490"/>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3"/>
      <c r="O102" s="2953"/>
      <c r="P102" s="2961"/>
      <c r="Q102" s="2938"/>
      <c r="R102" s="2924"/>
      <c r="S102" s="2924"/>
      <c r="T102" s="2924"/>
      <c r="U102" s="2924"/>
      <c r="V102" s="2924"/>
      <c r="W102" s="2924"/>
      <c r="X102" s="2924"/>
      <c r="Y102" s="2924"/>
      <c r="Z102" s="2924"/>
      <c r="AA102" s="2924"/>
      <c r="AB102" s="2924"/>
      <c r="AC102" s="2924"/>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1"/>
      <c r="O103" s="2951"/>
      <c r="P103" s="2961"/>
      <c r="Q103" s="2938"/>
      <c r="R103" s="2924"/>
      <c r="S103" s="2924"/>
      <c r="T103" s="2924"/>
      <c r="U103" s="2924"/>
      <c r="V103" s="2924"/>
      <c r="W103" s="2924"/>
      <c r="X103" s="2924"/>
      <c r="Y103" s="2924"/>
      <c r="Z103" s="2924"/>
      <c r="AA103" s="2924"/>
      <c r="AB103" s="2924"/>
      <c r="AC103" s="2924"/>
    </row>
    <row r="104" spans="1:29" s="430" customFormat="1">
      <c r="A104" s="550"/>
      <c r="B104" s="551"/>
      <c r="C104" s="552"/>
      <c r="D104" s="552"/>
      <c r="E104" s="552"/>
      <c r="F104" s="552"/>
      <c r="G104" s="552"/>
      <c r="H104" s="552"/>
      <c r="I104" s="552"/>
      <c r="J104" s="553"/>
      <c r="K104" s="553"/>
      <c r="L104" s="554"/>
      <c r="M104" s="555"/>
      <c r="N104" s="2954"/>
      <c r="O104" s="2954"/>
      <c r="P104" s="2962"/>
      <c r="Q104" s="2945"/>
      <c r="R104" s="2946"/>
      <c r="S104" s="2946"/>
      <c r="T104" s="2946"/>
      <c r="U104" s="2946"/>
      <c r="V104" s="2946"/>
      <c r="W104" s="2946"/>
      <c r="X104" s="2946"/>
      <c r="Y104" s="2946"/>
      <c r="Z104" s="2946"/>
      <c r="AA104" s="2946"/>
      <c r="AB104" s="2946"/>
      <c r="AC104" s="2946"/>
    </row>
    <row r="105" spans="1:29" s="430" customFormat="1" ht="15.75" thickBot="1">
      <c r="A105" s="510"/>
      <c r="B105" s="500"/>
      <c r="C105" s="517"/>
      <c r="D105" s="493"/>
      <c r="E105" s="493"/>
      <c r="F105" s="493"/>
      <c r="G105" s="493"/>
      <c r="H105" s="493"/>
      <c r="I105" s="493"/>
      <c r="J105" s="493"/>
      <c r="K105" s="493"/>
      <c r="L105" s="493"/>
      <c r="M105" s="494"/>
      <c r="N105" s="2953"/>
      <c r="O105" s="2953"/>
      <c r="P105" s="2962"/>
      <c r="Q105" s="2945"/>
      <c r="R105" s="2946"/>
      <c r="S105" s="2946"/>
      <c r="T105" s="2946"/>
      <c r="U105" s="2946"/>
      <c r="V105" s="2946"/>
      <c r="W105" s="2946"/>
      <c r="X105" s="2946"/>
      <c r="Y105" s="2946"/>
      <c r="Z105" s="2946"/>
      <c r="AA105" s="2946"/>
      <c r="AB105" s="2946"/>
      <c r="AC105" s="2946"/>
    </row>
    <row r="106" spans="1:29" ht="15" thickTop="1">
      <c r="A106" s="556"/>
      <c r="B106" s="495" t="s">
        <v>2375</v>
      </c>
      <c r="C106" s="511"/>
      <c r="D106" s="511"/>
      <c r="E106" s="540"/>
      <c r="F106" s="540"/>
      <c r="G106" s="540"/>
      <c r="H106" s="540"/>
      <c r="I106" s="540"/>
      <c r="J106" s="540"/>
      <c r="K106" s="541"/>
      <c r="L106" s="542"/>
      <c r="M106" s="543"/>
      <c r="N106" s="2952"/>
      <c r="O106" s="2952"/>
      <c r="P106" s="2961"/>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3"/>
      <c r="O107" s="2953"/>
      <c r="P107" s="2961"/>
      <c r="Q107" s="2938"/>
      <c r="R107" s="2924"/>
      <c r="S107" s="2924"/>
      <c r="T107" s="2924"/>
      <c r="U107" s="2924"/>
      <c r="V107" s="2924"/>
      <c r="W107" s="2924"/>
      <c r="X107" s="2924"/>
      <c r="Y107" s="2924"/>
      <c r="Z107" s="2924"/>
      <c r="AA107" s="2924"/>
      <c r="AB107" s="2924"/>
      <c r="AC107" s="2924"/>
    </row>
    <row r="108" spans="1:29" ht="15" thickTop="1">
      <c r="A108" s="556"/>
      <c r="B108" s="495" t="s">
        <v>2377</v>
      </c>
      <c r="C108" s="511"/>
      <c r="D108" s="511"/>
      <c r="E108" s="511"/>
      <c r="F108" s="540"/>
      <c r="G108" s="540"/>
      <c r="H108" s="540"/>
      <c r="I108" s="540"/>
      <c r="J108" s="540"/>
      <c r="K108" s="541"/>
      <c r="L108" s="542"/>
      <c r="M108" s="543"/>
      <c r="N108" s="2952"/>
      <c r="O108" s="2952"/>
      <c r="P108" s="2961"/>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3"/>
      <c r="O109" s="2953"/>
      <c r="P109" s="2961"/>
      <c r="Q109" s="2938"/>
      <c r="R109" s="2924"/>
      <c r="S109" s="2924"/>
      <c r="T109" s="2924"/>
      <c r="U109" s="2924"/>
      <c r="V109" s="2924"/>
      <c r="W109" s="2924"/>
      <c r="X109" s="2924"/>
      <c r="Y109" s="2924"/>
      <c r="Z109" s="2924"/>
      <c r="AA109" s="2924"/>
      <c r="AB109" s="2924"/>
      <c r="AC109" s="2924"/>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2"/>
      <c r="O110" s="2952"/>
      <c r="P110" s="2961"/>
      <c r="Q110" s="2938"/>
      <c r="R110" s="2924"/>
      <c r="S110" s="2924"/>
      <c r="T110" s="2924"/>
      <c r="U110" s="2924"/>
      <c r="V110" s="2924"/>
      <c r="W110" s="2924"/>
      <c r="X110" s="2924"/>
      <c r="Y110" s="2924"/>
      <c r="Z110" s="2924"/>
      <c r="AA110" s="2924"/>
      <c r="AB110" s="2924"/>
      <c r="AC110" s="2924"/>
    </row>
    <row r="111" spans="1:29">
      <c r="A111" s="556"/>
      <c r="B111" s="503"/>
      <c r="C111" s="560">
        <v>0.5</v>
      </c>
      <c r="D111" s="560">
        <v>0.6</v>
      </c>
      <c r="E111" s="560">
        <v>0.7</v>
      </c>
      <c r="F111" s="560">
        <v>0.8</v>
      </c>
      <c r="G111" s="560">
        <v>0.9</v>
      </c>
      <c r="H111" s="560">
        <v>1.0001</v>
      </c>
      <c r="I111" s="579"/>
      <c r="J111" s="579"/>
      <c r="K111" s="580"/>
      <c r="L111" s="581"/>
      <c r="M111" s="582"/>
      <c r="N111" s="2952"/>
      <c r="O111" s="2952"/>
      <c r="P111" s="2961"/>
      <c r="Q111" s="2938"/>
      <c r="R111" s="2924"/>
      <c r="S111" s="2924"/>
      <c r="T111" s="2924"/>
      <c r="U111" s="2924"/>
      <c r="V111" s="2924"/>
      <c r="W111" s="2924"/>
      <c r="X111" s="2924"/>
      <c r="Y111" s="2924"/>
      <c r="Z111" s="2924"/>
      <c r="AA111" s="2924"/>
      <c r="AB111" s="2924"/>
      <c r="AC111" s="292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3"/>
      <c r="O112" s="2953"/>
      <c r="P112" s="2961"/>
      <c r="Q112" s="2938"/>
      <c r="R112" s="2924"/>
      <c r="S112" s="2924"/>
      <c r="T112" s="2924"/>
      <c r="U112" s="2924"/>
      <c r="V112" s="2924"/>
      <c r="W112" s="2924"/>
      <c r="X112" s="2924"/>
      <c r="Y112" s="2924"/>
      <c r="Z112" s="2924"/>
      <c r="AA112" s="2924"/>
      <c r="AB112" s="2924"/>
      <c r="AC112" s="2924"/>
    </row>
    <row r="113" spans="1:29" s="430" customFormat="1" ht="15" thickTop="1">
      <c r="A113" s="550"/>
      <c r="B113" s="495" t="s">
        <v>2461</v>
      </c>
      <c r="C113" s="511"/>
      <c r="D113" s="511"/>
      <c r="E113" s="511"/>
      <c r="F113" s="511"/>
      <c r="G113" s="511"/>
      <c r="H113" s="540"/>
      <c r="I113" s="540"/>
      <c r="J113" s="540"/>
      <c r="K113" s="541"/>
      <c r="L113" s="542"/>
      <c r="M113" s="543"/>
      <c r="N113" s="2954"/>
      <c r="O113" s="2954"/>
      <c r="P113" s="2962"/>
      <c r="Q113" s="2945"/>
      <c r="R113" s="2946"/>
      <c r="S113" s="2946"/>
      <c r="T113" s="2946"/>
      <c r="U113" s="2946"/>
      <c r="V113" s="2946"/>
      <c r="W113" s="2946"/>
      <c r="X113" s="2946"/>
      <c r="Y113" s="2946"/>
      <c r="Z113" s="2946"/>
      <c r="AA113" s="2946"/>
      <c r="AB113" s="2946"/>
      <c r="AC113" s="294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4"/>
      <c r="O114" s="2954"/>
      <c r="P114" s="2962"/>
      <c r="Q114" s="2945"/>
      <c r="R114" s="2946"/>
      <c r="S114" s="2946"/>
      <c r="T114" s="2946"/>
      <c r="U114" s="2946"/>
      <c r="V114" s="2946"/>
      <c r="W114" s="2946"/>
      <c r="X114" s="2946"/>
      <c r="Y114" s="2946"/>
      <c r="Z114" s="2946"/>
      <c r="AA114" s="2946"/>
      <c r="AB114" s="2946"/>
      <c r="AC114" s="2946"/>
    </row>
    <row r="115" spans="1:29" ht="15" thickTop="1">
      <c r="A115" s="556"/>
      <c r="B115" s="495" t="s">
        <v>2378</v>
      </c>
      <c r="C115" s="511"/>
      <c r="D115" s="511"/>
      <c r="E115" s="540"/>
      <c r="F115" s="540"/>
      <c r="G115" s="540"/>
      <c r="H115" s="540"/>
      <c r="I115" s="540"/>
      <c r="J115" s="540"/>
      <c r="K115" s="541"/>
      <c r="L115" s="542"/>
      <c r="M115" s="543"/>
      <c r="N115" s="2952"/>
      <c r="O115" s="2952"/>
      <c r="P115" s="2961"/>
      <c r="Q115" s="2938"/>
      <c r="R115" s="2924"/>
      <c r="S115" s="2924"/>
      <c r="T115" s="2924"/>
      <c r="U115" s="2924"/>
      <c r="V115" s="2924"/>
      <c r="W115" s="2924"/>
      <c r="X115" s="2924"/>
      <c r="Y115" s="2924"/>
      <c r="Z115" s="2924"/>
      <c r="AA115" s="2924"/>
      <c r="AB115" s="2924"/>
      <c r="AC115" s="292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3"/>
      <c r="O116" s="2953"/>
      <c r="P116" s="2961"/>
      <c r="Q116" s="2938"/>
      <c r="R116" s="2924"/>
      <c r="S116" s="2924"/>
      <c r="T116" s="2924"/>
      <c r="U116" s="2924"/>
      <c r="V116" s="2924"/>
      <c r="W116" s="2924"/>
      <c r="X116" s="2924"/>
      <c r="Y116" s="2924"/>
      <c r="Z116" s="2924"/>
      <c r="AA116" s="2924"/>
      <c r="AB116" s="2924"/>
      <c r="AC116" s="2924"/>
    </row>
    <row r="117" spans="1:29" ht="15" thickTop="1">
      <c r="A117" s="556"/>
      <c r="B117" s="495" t="s">
        <v>2379</v>
      </c>
      <c r="C117" s="511"/>
      <c r="D117" s="511"/>
      <c r="E117" s="511"/>
      <c r="F117" s="511"/>
      <c r="G117" s="511"/>
      <c r="H117" s="540"/>
      <c r="I117" s="540"/>
      <c r="J117" s="540"/>
      <c r="K117" s="541"/>
      <c r="L117" s="542"/>
      <c r="M117" s="543"/>
      <c r="N117" s="2952"/>
      <c r="O117" s="2952"/>
      <c r="P117" s="2961"/>
      <c r="Q117" s="2938"/>
      <c r="R117" s="2924"/>
      <c r="S117" s="2924"/>
      <c r="T117" s="2924"/>
      <c r="U117" s="2924"/>
      <c r="V117" s="2924"/>
      <c r="W117" s="2924"/>
      <c r="X117" s="2924"/>
      <c r="Y117" s="2924"/>
      <c r="Z117" s="2924"/>
      <c r="AA117" s="2924"/>
      <c r="AB117" s="2924"/>
      <c r="AC117" s="292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3"/>
      <c r="O118" s="2953"/>
      <c r="P118" s="2961"/>
      <c r="Q118" s="2938"/>
      <c r="R118" s="2924"/>
      <c r="S118" s="2924"/>
      <c r="T118" s="2924"/>
      <c r="U118" s="2924"/>
      <c r="V118" s="2924"/>
      <c r="W118" s="2924"/>
      <c r="X118" s="2924"/>
      <c r="Y118" s="2924"/>
      <c r="Z118" s="2924"/>
      <c r="AA118" s="2924"/>
      <c r="AB118" s="2924"/>
      <c r="AC118" s="2924"/>
    </row>
    <row r="119" spans="1:29" ht="15" thickTop="1">
      <c r="A119" s="556"/>
      <c r="B119" s="592" t="s">
        <v>2462</v>
      </c>
      <c r="C119" s="540"/>
      <c r="D119" s="540"/>
      <c r="E119" s="540"/>
      <c r="F119" s="540"/>
      <c r="G119" s="540"/>
      <c r="H119" s="540"/>
      <c r="I119" s="540"/>
      <c r="J119" s="540"/>
      <c r="K119" s="540"/>
      <c r="L119" s="2124"/>
      <c r="M119" s="2125"/>
      <c r="N119" s="2953"/>
      <c r="O119" s="2953"/>
      <c r="P119" s="2966"/>
      <c r="Q119" s="2967"/>
      <c r="R119" s="2924"/>
      <c r="S119" s="2924"/>
      <c r="T119" s="2924"/>
      <c r="U119" s="2924"/>
      <c r="V119" s="2924"/>
      <c r="W119" s="2924"/>
      <c r="X119" s="2924"/>
      <c r="Y119" s="2924"/>
      <c r="Z119" s="2924"/>
      <c r="AA119" s="2924"/>
      <c r="AB119" s="2924"/>
      <c r="AC119" s="292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3"/>
      <c r="O120" s="2953"/>
      <c r="P120" s="2961"/>
      <c r="Q120" s="2938"/>
      <c r="R120" s="2924"/>
      <c r="S120" s="2924"/>
      <c r="T120" s="2924"/>
      <c r="U120" s="2924"/>
      <c r="V120" s="2924"/>
      <c r="W120" s="2924"/>
      <c r="X120" s="2924"/>
      <c r="Y120" s="2924"/>
      <c r="Z120" s="2924"/>
      <c r="AA120" s="2924"/>
      <c r="AB120" s="2924"/>
      <c r="AC120" s="2924"/>
    </row>
    <row r="121" spans="1:29" s="430" customFormat="1" ht="15" thickTop="1">
      <c r="A121" s="550"/>
      <c r="B121" s="495" t="s">
        <v>2445</v>
      </c>
      <c r="C121" s="511"/>
      <c r="D121" s="511"/>
      <c r="E121" s="511"/>
      <c r="F121" s="540"/>
      <c r="G121" s="512"/>
      <c r="H121" s="512"/>
      <c r="I121" s="512"/>
      <c r="J121" s="512"/>
      <c r="K121" s="512"/>
      <c r="L121" s="513"/>
      <c r="M121" s="514"/>
      <c r="N121" s="2954"/>
      <c r="O121" s="2954"/>
      <c r="P121" s="2962"/>
      <c r="Q121" s="2945"/>
      <c r="R121" s="2946"/>
      <c r="S121" s="2946"/>
      <c r="T121" s="2946"/>
      <c r="U121" s="2946"/>
      <c r="V121" s="2946"/>
      <c r="W121" s="2946"/>
      <c r="X121" s="2946"/>
      <c r="Y121" s="2946"/>
      <c r="Z121" s="2946"/>
      <c r="AA121" s="2946"/>
      <c r="AB121" s="2946"/>
      <c r="AC121" s="2946"/>
    </row>
    <row r="122" spans="1:29" s="430" customFormat="1" ht="15.75" thickBot="1">
      <c r="A122" s="510"/>
      <c r="B122" s="492"/>
      <c r="C122" s="517"/>
      <c r="D122" s="517"/>
      <c r="E122" s="517"/>
      <c r="F122" s="517"/>
      <c r="G122" s="517"/>
      <c r="H122" s="517"/>
      <c r="I122" s="517"/>
      <c r="J122" s="517"/>
      <c r="K122" s="517"/>
      <c r="L122" s="517"/>
      <c r="M122" s="517"/>
      <c r="N122" s="2954"/>
      <c r="O122" s="2954"/>
      <c r="P122" s="2962"/>
      <c r="Q122" s="2945"/>
      <c r="R122" s="2946"/>
      <c r="S122" s="2946"/>
      <c r="T122" s="2946"/>
      <c r="U122" s="2946"/>
      <c r="V122" s="2946"/>
      <c r="W122" s="2946"/>
      <c r="X122" s="2946"/>
      <c r="Y122" s="2946"/>
      <c r="Z122" s="2946"/>
      <c r="AA122" s="2946"/>
      <c r="AB122" s="2946"/>
      <c r="AC122" s="2946"/>
    </row>
    <row r="123" spans="1:29" ht="15" thickTop="1">
      <c r="A123" s="556"/>
      <c r="B123" s="495" t="s">
        <v>2381</v>
      </c>
      <c r="C123" s="511"/>
      <c r="D123" s="511"/>
      <c r="E123" s="511"/>
      <c r="F123" s="540"/>
      <c r="G123" s="540"/>
      <c r="H123" s="540"/>
      <c r="I123" s="540"/>
      <c r="J123" s="540"/>
      <c r="K123" s="541"/>
      <c r="L123" s="542"/>
      <c r="M123" s="543"/>
      <c r="N123" s="2952"/>
      <c r="O123" s="2952"/>
      <c r="P123" s="2961"/>
      <c r="Q123" s="2938"/>
      <c r="R123" s="2924"/>
      <c r="S123" s="2924"/>
      <c r="T123" s="2924"/>
      <c r="U123" s="2924"/>
      <c r="V123" s="2924"/>
      <c r="W123" s="2924"/>
      <c r="X123" s="2924"/>
      <c r="Y123" s="2924"/>
      <c r="Z123" s="2924"/>
      <c r="AA123" s="2924"/>
      <c r="AB123" s="2924"/>
      <c r="AC123" s="292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3"/>
      <c r="O124" s="2953"/>
      <c r="P124" s="2961"/>
      <c r="Q124" s="2938"/>
      <c r="R124" s="2924"/>
      <c r="S124" s="2924"/>
      <c r="T124" s="2924"/>
      <c r="U124" s="2924"/>
      <c r="V124" s="2924"/>
      <c r="W124" s="2924"/>
      <c r="X124" s="2924"/>
      <c r="Y124" s="2924"/>
      <c r="Z124" s="2924"/>
      <c r="AA124" s="2924"/>
      <c r="AB124" s="2924"/>
      <c r="AC124" s="2924"/>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2"/>
      <c r="O125" s="2952"/>
      <c r="P125" s="2962"/>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3"/>
      <c r="O126" s="2953"/>
      <c r="P126" s="2961"/>
      <c r="Q126" s="2938"/>
      <c r="R126" s="2924"/>
      <c r="S126" s="2924"/>
      <c r="T126" s="2924"/>
      <c r="U126" s="2924"/>
      <c r="V126" s="2924"/>
      <c r="W126" s="2924"/>
      <c r="X126" s="2924"/>
      <c r="Y126" s="2924"/>
      <c r="Z126" s="2924"/>
      <c r="AA126" s="2924"/>
      <c r="AB126" s="2924"/>
      <c r="AC126" s="2924"/>
    </row>
    <row r="127" spans="1:29" s="430" customFormat="1" ht="15" thickTop="1">
      <c r="A127" s="550"/>
      <c r="B127" s="495">
        <f>B45</f>
        <v>111</v>
      </c>
      <c r="C127" s="511"/>
      <c r="D127" s="511"/>
      <c r="E127" s="511"/>
      <c r="F127" s="511"/>
      <c r="G127" s="511"/>
      <c r="H127" s="512"/>
      <c r="I127" s="512"/>
      <c r="J127" s="512"/>
      <c r="K127" s="512"/>
      <c r="L127" s="513"/>
      <c r="M127" s="514"/>
      <c r="N127" s="2954"/>
      <c r="O127" s="2954"/>
      <c r="P127" s="2962"/>
      <c r="Q127" s="2945"/>
      <c r="R127" s="2946"/>
      <c r="S127" s="2946"/>
      <c r="T127" s="2946"/>
      <c r="U127" s="2946"/>
      <c r="V127" s="2946"/>
      <c r="W127" s="2946"/>
      <c r="X127" s="2946"/>
      <c r="Y127" s="2946"/>
      <c r="Z127" s="2946"/>
      <c r="AA127" s="2946"/>
      <c r="AB127" s="2946"/>
      <c r="AC127" s="2946"/>
    </row>
    <row r="128" spans="1:29" s="430" customFormat="1" ht="15.75" thickBot="1">
      <c r="A128" s="510"/>
      <c r="B128" s="500"/>
      <c r="C128" s="517"/>
      <c r="D128" s="493"/>
      <c r="E128" s="493"/>
      <c r="F128" s="493"/>
      <c r="G128" s="517"/>
      <c r="H128" s="519"/>
      <c r="I128" s="519"/>
      <c r="J128" s="519"/>
      <c r="K128" s="519"/>
      <c r="L128" s="519"/>
      <c r="M128" s="520"/>
      <c r="N128" s="2954"/>
      <c r="O128" s="2954"/>
      <c r="P128" s="2962"/>
      <c r="Q128" s="2945"/>
      <c r="R128" s="2946"/>
      <c r="S128" s="2946"/>
      <c r="T128" s="2946"/>
      <c r="U128" s="2946"/>
      <c r="V128" s="2946"/>
      <c r="W128" s="2946"/>
      <c r="X128" s="2946"/>
      <c r="Y128" s="2946"/>
      <c r="Z128" s="2946"/>
      <c r="AA128" s="2946"/>
      <c r="AB128" s="2946"/>
      <c r="AC128" s="2946"/>
    </row>
    <row r="129" spans="1:29" ht="15" thickTop="1">
      <c r="A129" s="556"/>
      <c r="B129" s="495">
        <f>B46</f>
        <v>111</v>
      </c>
      <c r="C129" s="511"/>
      <c r="D129" s="511"/>
      <c r="E129" s="511"/>
      <c r="F129" s="511"/>
      <c r="G129" s="540"/>
      <c r="H129" s="540"/>
      <c r="I129" s="540"/>
      <c r="J129" s="540"/>
      <c r="K129" s="541"/>
      <c r="L129" s="542"/>
      <c r="M129" s="543"/>
      <c r="N129" s="2952"/>
      <c r="O129" s="2952"/>
      <c r="P129" s="2961"/>
      <c r="Q129" s="2938"/>
      <c r="R129" s="2924"/>
      <c r="S129" s="2924"/>
      <c r="T129" s="2924"/>
      <c r="U129" s="2924"/>
      <c r="V129" s="2924"/>
      <c r="W129" s="2924"/>
      <c r="X129" s="2924"/>
      <c r="Y129" s="2924"/>
      <c r="Z129" s="2924"/>
      <c r="AA129" s="2924"/>
      <c r="AB129" s="2924"/>
      <c r="AC129" s="2924"/>
    </row>
    <row r="130" spans="1:29" ht="15.75" thickBot="1">
      <c r="A130" s="491"/>
      <c r="B130" s="500"/>
      <c r="C130" s="517"/>
      <c r="D130" s="517"/>
      <c r="E130" s="517"/>
      <c r="F130" s="517"/>
      <c r="G130" s="493"/>
      <c r="H130" s="493"/>
      <c r="I130" s="493"/>
      <c r="J130" s="493"/>
      <c r="K130" s="493"/>
      <c r="L130" s="493"/>
      <c r="M130" s="494"/>
      <c r="N130" s="2953"/>
      <c r="O130" s="2953"/>
      <c r="P130" s="2961"/>
      <c r="Q130" s="2938"/>
      <c r="R130" s="2924"/>
      <c r="S130" s="2924"/>
      <c r="T130" s="2924"/>
      <c r="U130" s="2924"/>
      <c r="V130" s="2924"/>
      <c r="W130" s="2924"/>
      <c r="X130" s="2924"/>
      <c r="Y130" s="2924"/>
      <c r="Z130" s="2924"/>
      <c r="AA130" s="2924"/>
      <c r="AB130" s="2924"/>
      <c r="AC130" s="2924"/>
    </row>
    <row r="131" spans="1:29" ht="15" thickTop="1">
      <c r="A131" s="556"/>
      <c r="B131" s="503">
        <f>B47</f>
        <v>111</v>
      </c>
      <c r="C131" s="480"/>
      <c r="D131" s="480"/>
      <c r="E131" s="480"/>
      <c r="F131" s="480"/>
      <c r="G131" s="544"/>
      <c r="H131" s="544"/>
      <c r="I131" s="544"/>
      <c r="J131" s="544"/>
      <c r="K131" s="480"/>
      <c r="L131" s="481"/>
      <c r="M131" s="547"/>
      <c r="N131" s="2952"/>
      <c r="O131" s="2952"/>
      <c r="P131" s="2961"/>
      <c r="Q131" s="2938"/>
      <c r="R131" s="2924"/>
      <c r="S131" s="2924"/>
      <c r="T131" s="2924"/>
      <c r="U131" s="2924"/>
      <c r="V131" s="2924"/>
      <c r="W131" s="2924"/>
      <c r="X131" s="2924"/>
      <c r="Y131" s="2924"/>
      <c r="Z131" s="2924"/>
      <c r="AA131" s="2924"/>
      <c r="AB131" s="2924"/>
      <c r="AC131" s="2924"/>
    </row>
    <row r="132" spans="1:29" ht="15.75" thickBot="1">
      <c r="A132" s="2084"/>
      <c r="B132" s="526"/>
      <c r="C132" s="527"/>
      <c r="D132" s="527"/>
      <c r="E132" s="527"/>
      <c r="F132" s="527"/>
      <c r="G132" s="548"/>
      <c r="H132" s="548"/>
      <c r="I132" s="548"/>
      <c r="J132" s="548"/>
      <c r="K132" s="548"/>
      <c r="L132" s="548"/>
      <c r="M132" s="549"/>
      <c r="N132" s="2953"/>
      <c r="O132" s="2953"/>
      <c r="P132" s="2961"/>
      <c r="Q132" s="2938"/>
      <c r="R132" s="2924"/>
      <c r="S132" s="2924"/>
      <c r="T132" s="2924"/>
      <c r="U132" s="2924"/>
      <c r="V132" s="2924"/>
      <c r="W132" s="2924"/>
      <c r="X132" s="2924"/>
      <c r="Y132" s="2924"/>
      <c r="Z132" s="2924"/>
      <c r="AA132" s="2924"/>
      <c r="AB132" s="2924"/>
      <c r="AC132" s="29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2463</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IF(C2="——",ROUND(C43*D3/10000,0),ROUND(C43*D3/10000,0)-D2)</f>
        <v>#DIV/0!</v>
      </c>
      <c r="C2" s="2037"/>
      <c r="D2" s="1038" t="e">
        <f ca="1">SUMIF(INDIRECT("'"&amp;F2&amp;"'"&amp;"!A:A"),"承租人权益价值",INDIRECT("'"&amp;F2&amp;"'"&amp;"!c:c"))</f>
        <v>#REF!</v>
      </c>
      <c r="E2" s="2038" t="s">
        <v>2089</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69898.900000000009</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586" t="s">
        <v>2407</v>
      </c>
      <c r="D4" s="3587"/>
      <c r="E4" s="3588" t="s">
        <v>2408</v>
      </c>
      <c r="F4" s="3589"/>
      <c r="G4" s="3586" t="s">
        <v>2409</v>
      </c>
      <c r="H4" s="3587"/>
      <c r="I4" s="3586" t="s">
        <v>2410</v>
      </c>
      <c r="J4" s="3587"/>
      <c r="K4" s="567" t="s">
        <v>2411</v>
      </c>
      <c r="L4" s="1044"/>
      <c r="M4" s="1045"/>
      <c r="N4" s="1045"/>
      <c r="O4" s="1045"/>
      <c r="P4" s="3590" t="s">
        <v>2412</v>
      </c>
      <c r="Q4" s="3591"/>
      <c r="R4" s="3573" t="s">
        <v>2408</v>
      </c>
      <c r="S4" s="3574"/>
      <c r="T4" s="3573" t="s">
        <v>2409</v>
      </c>
      <c r="U4" s="3574"/>
      <c r="V4" s="3598" t="s">
        <v>2410</v>
      </c>
      <c r="W4" s="3598"/>
      <c r="X4" s="1509"/>
      <c r="Y4" s="3573" t="s">
        <v>2412</v>
      </c>
      <c r="Z4" s="3574"/>
      <c r="AA4" s="3568" t="s">
        <v>2408</v>
      </c>
      <c r="AB4" s="3569" t="s">
        <v>2409</v>
      </c>
      <c r="AC4" s="3568" t="s">
        <v>2410</v>
      </c>
    </row>
    <row r="5" spans="1:29" ht="15">
      <c r="A5" s="364"/>
      <c r="B5" s="365"/>
      <c r="C5" s="3579" t="s">
        <v>2303</v>
      </c>
      <c r="D5" s="3580"/>
      <c r="E5" s="3577" t="s">
        <v>2304</v>
      </c>
      <c r="F5" s="3578"/>
      <c r="G5" s="3579" t="s">
        <v>2305</v>
      </c>
      <c r="H5" s="3580"/>
      <c r="I5" s="3579" t="s">
        <v>2306</v>
      </c>
      <c r="J5" s="3580"/>
      <c r="K5" s="567"/>
      <c r="L5" s="1044"/>
      <c r="M5" s="1045"/>
      <c r="N5" s="1045"/>
      <c r="O5" s="1045"/>
      <c r="P5" s="3592"/>
      <c r="Q5" s="3593"/>
      <c r="R5" s="3575"/>
      <c r="S5" s="3576"/>
      <c r="T5" s="3575"/>
      <c r="U5" s="3576"/>
      <c r="V5" s="3598"/>
      <c r="W5" s="3598"/>
      <c r="X5" s="1509"/>
      <c r="Y5" s="3575"/>
      <c r="Z5" s="3576"/>
      <c r="AA5" s="3569"/>
      <c r="AB5" s="3569"/>
      <c r="AC5" s="3569"/>
    </row>
    <row r="6" spans="1:29" ht="15.75" thickBot="1">
      <c r="A6" s="366"/>
      <c r="B6" s="367"/>
      <c r="C6" s="3581" t="s">
        <v>2307</v>
      </c>
      <c r="D6" s="3582"/>
      <c r="E6" s="3583" t="s">
        <v>2307</v>
      </c>
      <c r="F6" s="3584"/>
      <c r="G6" s="3581" t="s">
        <v>2307</v>
      </c>
      <c r="H6" s="3582"/>
      <c r="I6" s="3581" t="s">
        <v>2307</v>
      </c>
      <c r="J6" s="3582"/>
      <c r="K6" s="567" t="s">
        <v>2308</v>
      </c>
      <c r="L6" s="1044"/>
      <c r="M6" s="1045"/>
      <c r="N6" s="1045"/>
      <c r="O6" s="1045"/>
      <c r="P6" s="3594"/>
      <c r="Q6" s="3595"/>
      <c r="R6" s="3575"/>
      <c r="S6" s="3576"/>
      <c r="T6" s="3596"/>
      <c r="U6" s="3597"/>
      <c r="V6" s="3598"/>
      <c r="W6" s="3598"/>
      <c r="X6" s="1509"/>
      <c r="Y6" s="3596"/>
      <c r="Z6" s="3597"/>
      <c r="AA6" s="3570"/>
      <c r="AB6" s="3570"/>
      <c r="AC6" s="3570"/>
    </row>
    <row r="7" spans="1:29" s="113" customFormat="1" ht="15.75" thickBot="1">
      <c r="A7" s="368" t="s">
        <v>2309</v>
      </c>
      <c r="B7" s="369"/>
      <c r="C7" s="370">
        <f>'数据-取费表'!B2</f>
        <v>44543</v>
      </c>
      <c r="D7" s="371">
        <v>100</v>
      </c>
      <c r="E7" s="372"/>
      <c r="F7" s="373">
        <f>SUMIF(52:52,YEAR(E7)&amp;"-"&amp;MONTH(E7),53:53)</f>
        <v>0</v>
      </c>
      <c r="G7" s="372"/>
      <c r="H7" s="371">
        <f>SUMIF(52:52,YEAR(G7)&amp;"-"&amp;MONTH(G7),53:53)</f>
        <v>0</v>
      </c>
      <c r="I7" s="372"/>
      <c r="J7" s="371">
        <f>SUMIF(52:52,YEAR(I7)&amp;"-"&amp;MONTH(I7),53:53)</f>
        <v>0</v>
      </c>
      <c r="K7" s="568"/>
      <c r="L7" s="1046"/>
      <c r="M7" s="1047"/>
      <c r="N7" s="1047"/>
      <c r="O7" s="1047"/>
      <c r="P7" s="3571" t="s">
        <v>2310</v>
      </c>
      <c r="Q7" s="3599"/>
      <c r="R7" s="710" t="s">
        <v>17</v>
      </c>
      <c r="S7" s="711">
        <f t="shared" ref="S7:S15" si="0">F7</f>
        <v>0</v>
      </c>
      <c r="T7" s="710" t="s">
        <v>17</v>
      </c>
      <c r="U7" s="711">
        <f t="shared" ref="U7:U15" si="1">H7</f>
        <v>0</v>
      </c>
      <c r="V7" s="710" t="s">
        <v>17</v>
      </c>
      <c r="W7" s="711">
        <f t="shared" ref="W7:W15" si="2">J7</f>
        <v>0</v>
      </c>
      <c r="X7" s="712"/>
      <c r="Y7" s="3571" t="s">
        <v>2310</v>
      </c>
      <c r="Z7" s="3572"/>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571" t="s">
        <v>2313</v>
      </c>
      <c r="Q8" s="3572"/>
      <c r="R8" s="710" t="s">
        <v>17</v>
      </c>
      <c r="S8" s="711">
        <f t="shared" si="0"/>
        <v>0</v>
      </c>
      <c r="T8" s="710" t="s">
        <v>17</v>
      </c>
      <c r="U8" s="711">
        <f t="shared" si="1"/>
        <v>0</v>
      </c>
      <c r="V8" s="710" t="s">
        <v>17</v>
      </c>
      <c r="W8" s="711">
        <f t="shared" si="2"/>
        <v>0</v>
      </c>
      <c r="X8" s="712"/>
      <c r="Y8" s="3571" t="s">
        <v>2313</v>
      </c>
      <c r="Z8" s="3572"/>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585" t="s">
        <v>2316</v>
      </c>
      <c r="Q9" s="1497" t="str">
        <f t="shared" ref="Q9:Q15" si="6">B9</f>
        <v>用途</v>
      </c>
      <c r="R9" s="710" t="s">
        <v>17</v>
      </c>
      <c r="S9" s="711">
        <f t="shared" si="0"/>
        <v>100</v>
      </c>
      <c r="T9" s="710" t="s">
        <v>17</v>
      </c>
      <c r="U9" s="711">
        <f t="shared" si="1"/>
        <v>100</v>
      </c>
      <c r="V9" s="710" t="s">
        <v>17</v>
      </c>
      <c r="W9" s="711">
        <f t="shared" si="2"/>
        <v>100</v>
      </c>
      <c r="X9" s="712"/>
      <c r="Y9" s="3541"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585"/>
      <c r="Q10" s="1497" t="str">
        <f t="shared" si="6"/>
        <v>土地使用年限（年）</v>
      </c>
      <c r="R10" s="710" t="s">
        <v>17</v>
      </c>
      <c r="S10" s="711">
        <f t="shared" si="0"/>
        <v>100</v>
      </c>
      <c r="T10" s="710" t="s">
        <v>17</v>
      </c>
      <c r="U10" s="711">
        <f t="shared" si="1"/>
        <v>100</v>
      </c>
      <c r="V10" s="710" t="s">
        <v>17</v>
      </c>
      <c r="W10" s="711">
        <f t="shared" si="2"/>
        <v>100</v>
      </c>
      <c r="X10" s="712"/>
      <c r="Y10" s="3541"/>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585"/>
      <c r="Q11" s="1497" t="str">
        <f t="shared" si="6"/>
        <v>容积率</v>
      </c>
      <c r="R11" s="710" t="s">
        <v>17</v>
      </c>
      <c r="S11" s="711" t="e">
        <f t="shared" si="0"/>
        <v>#N/A</v>
      </c>
      <c r="T11" s="710" t="s">
        <v>17</v>
      </c>
      <c r="U11" s="711" t="e">
        <f t="shared" si="1"/>
        <v>#N/A</v>
      </c>
      <c r="V11" s="710" t="s">
        <v>17</v>
      </c>
      <c r="W11" s="711" t="e">
        <f t="shared" si="2"/>
        <v>#N/A</v>
      </c>
      <c r="X11" s="712"/>
      <c r="Y11" s="3541"/>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585"/>
      <c r="Q12" s="1497">
        <f t="shared" si="6"/>
        <v>111</v>
      </c>
      <c r="R12" s="710" t="s">
        <v>17</v>
      </c>
      <c r="S12" s="711">
        <f t="shared" si="0"/>
        <v>100</v>
      </c>
      <c r="T12" s="710" t="s">
        <v>17</v>
      </c>
      <c r="U12" s="711">
        <f t="shared" si="1"/>
        <v>100</v>
      </c>
      <c r="V12" s="710" t="s">
        <v>17</v>
      </c>
      <c r="W12" s="711">
        <f t="shared" si="2"/>
        <v>100</v>
      </c>
      <c r="X12" s="712"/>
      <c r="Y12" s="3541"/>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585"/>
      <c r="Q13" s="1497">
        <f t="shared" si="6"/>
        <v>111</v>
      </c>
      <c r="R13" s="710" t="s">
        <v>17</v>
      </c>
      <c r="S13" s="711">
        <f t="shared" si="0"/>
        <v>100</v>
      </c>
      <c r="T13" s="710" t="s">
        <v>17</v>
      </c>
      <c r="U13" s="711">
        <f t="shared" si="1"/>
        <v>100</v>
      </c>
      <c r="V13" s="710" t="s">
        <v>17</v>
      </c>
      <c r="W13" s="711">
        <f t="shared" si="2"/>
        <v>100</v>
      </c>
      <c r="X13" s="712"/>
      <c r="Y13" s="3541"/>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585"/>
      <c r="Q14" s="1497">
        <f t="shared" si="6"/>
        <v>111</v>
      </c>
      <c r="R14" s="710" t="s">
        <v>17</v>
      </c>
      <c r="S14" s="711">
        <f t="shared" si="0"/>
        <v>100</v>
      </c>
      <c r="T14" s="710" t="s">
        <v>17</v>
      </c>
      <c r="U14" s="711">
        <f t="shared" si="1"/>
        <v>100</v>
      </c>
      <c r="V14" s="710" t="s">
        <v>17</v>
      </c>
      <c r="W14" s="711">
        <f t="shared" si="2"/>
        <v>100</v>
      </c>
      <c r="X14" s="712"/>
      <c r="Y14" s="3541"/>
      <c r="Z14" s="55">
        <f t="shared" si="7"/>
        <v>111</v>
      </c>
      <c r="AA14" s="713">
        <f t="shared" si="3"/>
        <v>1</v>
      </c>
      <c r="AB14" s="713">
        <f t="shared" si="4"/>
        <v>1</v>
      </c>
      <c r="AC14" s="713">
        <f t="shared" si="5"/>
        <v>1</v>
      </c>
    </row>
    <row r="15" spans="1:29" ht="57">
      <c r="A15" s="399" t="s">
        <v>2320</v>
      </c>
      <c r="B15" s="65" t="s">
        <v>2464</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600" t="s">
        <v>2321</v>
      </c>
      <c r="Q15" s="1506" t="str">
        <f t="shared" si="6"/>
        <v>产业集聚程度</v>
      </c>
      <c r="R15" s="714" t="s">
        <v>17</v>
      </c>
      <c r="S15" s="715">
        <f t="shared" si="0"/>
        <v>100</v>
      </c>
      <c r="T15" s="714" t="s">
        <v>17</v>
      </c>
      <c r="U15" s="715">
        <f t="shared" si="1"/>
        <v>100</v>
      </c>
      <c r="V15" s="714" t="s">
        <v>17</v>
      </c>
      <c r="W15" s="715">
        <f t="shared" si="2"/>
        <v>100</v>
      </c>
      <c r="X15" s="1509"/>
      <c r="Y15" s="3600" t="s">
        <v>2321</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601"/>
      <c r="Q16" s="1506"/>
      <c r="R16" s="714"/>
      <c r="S16" s="715"/>
      <c r="T16" s="714"/>
      <c r="U16" s="715"/>
      <c r="V16" s="714"/>
      <c r="W16" s="715"/>
      <c r="X16" s="1509"/>
      <c r="Y16" s="3601"/>
      <c r="Z16" s="1510"/>
      <c r="AA16" s="1507">
        <v>1</v>
      </c>
      <c r="AB16" s="1507">
        <v>1</v>
      </c>
      <c r="AC16" s="1507">
        <v>1</v>
      </c>
    </row>
    <row r="17" spans="1:29" ht="85.5">
      <c r="A17" s="387"/>
      <c r="B17" s="410" t="s">
        <v>1885</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601"/>
      <c r="Q17" s="1506" t="str">
        <f>B17</f>
        <v>交通便捷度</v>
      </c>
      <c r="R17" s="714" t="s">
        <v>17</v>
      </c>
      <c r="S17" s="715">
        <f>F17</f>
        <v>100</v>
      </c>
      <c r="T17" s="714" t="s">
        <v>17</v>
      </c>
      <c r="U17" s="715">
        <f>H17</f>
        <v>100</v>
      </c>
      <c r="V17" s="714" t="s">
        <v>17</v>
      </c>
      <c r="W17" s="715">
        <f>J17</f>
        <v>100</v>
      </c>
      <c r="X17" s="1509"/>
      <c r="Y17" s="3601"/>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601"/>
      <c r="Q18" s="1506"/>
      <c r="R18" s="714"/>
      <c r="S18" s="715"/>
      <c r="T18" s="714"/>
      <c r="U18" s="715"/>
      <c r="V18" s="714"/>
      <c r="W18" s="715"/>
      <c r="X18" s="1509"/>
      <c r="Y18" s="3601"/>
      <c r="Z18" s="1510"/>
      <c r="AA18" s="1507">
        <v>1</v>
      </c>
      <c r="AB18" s="1507">
        <v>1</v>
      </c>
      <c r="AC18" s="1507">
        <v>1</v>
      </c>
    </row>
    <row r="19" spans="1:29" ht="42.75">
      <c r="A19" s="387"/>
      <c r="B19" s="410" t="s">
        <v>2449</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601"/>
      <c r="Q19" s="1506" t="str">
        <f>B19</f>
        <v>公共配套设施</v>
      </c>
      <c r="R19" s="714" t="s">
        <v>17</v>
      </c>
      <c r="S19" s="715">
        <f>F19</f>
        <v>100</v>
      </c>
      <c r="T19" s="714" t="s">
        <v>17</v>
      </c>
      <c r="U19" s="715">
        <f>H19</f>
        <v>100</v>
      </c>
      <c r="V19" s="714" t="s">
        <v>17</v>
      </c>
      <c r="W19" s="715">
        <f>J19</f>
        <v>100</v>
      </c>
      <c r="X19" s="1509"/>
      <c r="Y19" s="3601"/>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601"/>
      <c r="Q20" s="1506"/>
      <c r="R20" s="714"/>
      <c r="S20" s="715"/>
      <c r="T20" s="714"/>
      <c r="U20" s="715"/>
      <c r="V20" s="714"/>
      <c r="W20" s="715"/>
      <c r="X20" s="1509"/>
      <c r="Y20" s="3601"/>
      <c r="Z20" s="1510"/>
      <c r="AA20" s="1507">
        <v>1</v>
      </c>
      <c r="AB20" s="1507">
        <v>1</v>
      </c>
      <c r="AC20" s="1507">
        <v>1</v>
      </c>
    </row>
    <row r="21" spans="1:29" ht="28.5">
      <c r="A21" s="387"/>
      <c r="B21" s="1265" t="s">
        <v>2450</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601"/>
      <c r="Q21" s="1506" t="str">
        <f>B21</f>
        <v>基础设施水平</v>
      </c>
      <c r="R21" s="714" t="s">
        <v>17</v>
      </c>
      <c r="S21" s="715">
        <f>F21</f>
        <v>100</v>
      </c>
      <c r="T21" s="714" t="s">
        <v>17</v>
      </c>
      <c r="U21" s="715">
        <f>H21</f>
        <v>100</v>
      </c>
      <c r="V21" s="714" t="s">
        <v>17</v>
      </c>
      <c r="W21" s="715">
        <f>J21</f>
        <v>100</v>
      </c>
      <c r="X21" s="1509"/>
      <c r="Y21" s="3601"/>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601"/>
      <c r="Q22" s="1506"/>
      <c r="R22" s="714"/>
      <c r="S22" s="715"/>
      <c r="T22" s="714"/>
      <c r="U22" s="715"/>
      <c r="V22" s="714"/>
      <c r="W22" s="715"/>
      <c r="X22" s="1509"/>
      <c r="Y22" s="3601"/>
      <c r="Z22" s="1510"/>
      <c r="AA22" s="1507">
        <v>1</v>
      </c>
      <c r="AB22" s="1507">
        <v>1</v>
      </c>
      <c r="AC22" s="1507">
        <v>1</v>
      </c>
    </row>
    <row r="23" spans="1:29" ht="71.25">
      <c r="A23" s="387"/>
      <c r="B23" s="410" t="s">
        <v>2451</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601"/>
      <c r="Q23" s="1506" t="str">
        <f>B23</f>
        <v>环境质量</v>
      </c>
      <c r="R23" s="714" t="s">
        <v>17</v>
      </c>
      <c r="S23" s="715">
        <f>F23</f>
        <v>100</v>
      </c>
      <c r="T23" s="714" t="s">
        <v>17</v>
      </c>
      <c r="U23" s="715">
        <f>H23</f>
        <v>100</v>
      </c>
      <c r="V23" s="714" t="s">
        <v>17</v>
      </c>
      <c r="W23" s="715">
        <f>J23</f>
        <v>100</v>
      </c>
      <c r="X23" s="1509"/>
      <c r="Y23" s="3601"/>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601"/>
      <c r="Q24" s="1506"/>
      <c r="R24" s="714"/>
      <c r="S24" s="715"/>
      <c r="T24" s="714"/>
      <c r="U24" s="715"/>
      <c r="V24" s="714"/>
      <c r="W24" s="715"/>
      <c r="X24" s="1509"/>
      <c r="Y24" s="3601"/>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601"/>
      <c r="Q25" s="1506">
        <f>B25</f>
        <v>111</v>
      </c>
      <c r="R25" s="714" t="s">
        <v>17</v>
      </c>
      <c r="S25" s="715">
        <f>F25</f>
        <v>100</v>
      </c>
      <c r="T25" s="714" t="s">
        <v>17</v>
      </c>
      <c r="U25" s="715">
        <f>H25</f>
        <v>100</v>
      </c>
      <c r="V25" s="714" t="s">
        <v>17</v>
      </c>
      <c r="W25" s="715">
        <f>J25</f>
        <v>100</v>
      </c>
      <c r="X25" s="1509"/>
      <c r="Y25" s="3601"/>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601"/>
      <c r="Q26" s="1506">
        <f t="shared" ref="Q26:Q40" si="11">B26</f>
        <v>111</v>
      </c>
      <c r="R26" s="714" t="s">
        <v>17</v>
      </c>
      <c r="S26" s="715">
        <f>F26</f>
        <v>100</v>
      </c>
      <c r="T26" s="714" t="s">
        <v>17</v>
      </c>
      <c r="U26" s="715">
        <f>H26</f>
        <v>100</v>
      </c>
      <c r="V26" s="714" t="s">
        <v>17</v>
      </c>
      <c r="W26" s="715">
        <f>J26</f>
        <v>100</v>
      </c>
      <c r="X26" s="1509"/>
      <c r="Y26" s="3601"/>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601"/>
      <c r="Q27" s="1497">
        <f t="shared" si="11"/>
        <v>111</v>
      </c>
      <c r="R27" s="710" t="s">
        <v>17</v>
      </c>
      <c r="S27" s="711">
        <f>F27</f>
        <v>100</v>
      </c>
      <c r="T27" s="710" t="s">
        <v>17</v>
      </c>
      <c r="U27" s="711">
        <f>H27</f>
        <v>100</v>
      </c>
      <c r="V27" s="710" t="s">
        <v>17</v>
      </c>
      <c r="W27" s="711">
        <f>J27</f>
        <v>100</v>
      </c>
      <c r="X27" s="712"/>
      <c r="Y27" s="3601"/>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601"/>
      <c r="Q28" s="1506">
        <f t="shared" si="11"/>
        <v>111</v>
      </c>
      <c r="R28" s="714" t="s">
        <v>17</v>
      </c>
      <c r="S28" s="715">
        <f t="shared" ref="S28:S40" si="12">F28</f>
        <v>100</v>
      </c>
      <c r="T28" s="714" t="s">
        <v>17</v>
      </c>
      <c r="U28" s="715">
        <f t="shared" ref="U28:U40" si="13">H28</f>
        <v>100</v>
      </c>
      <c r="V28" s="714" t="s">
        <v>17</v>
      </c>
      <c r="W28" s="715">
        <f t="shared" ref="W28:W40" si="14">J28</f>
        <v>100</v>
      </c>
      <c r="X28" s="1509"/>
      <c r="Y28" s="3601"/>
      <c r="Z28" s="1510">
        <f t="shared" ref="Z28:Z40" si="15">Q28</f>
        <v>111</v>
      </c>
      <c r="AA28" s="1507">
        <f t="shared" si="3"/>
        <v>1</v>
      </c>
      <c r="AB28" s="1507">
        <f t="shared" si="4"/>
        <v>1</v>
      </c>
      <c r="AC28" s="1507">
        <f t="shared" si="5"/>
        <v>1</v>
      </c>
    </row>
    <row r="29" spans="1:29" ht="28.5">
      <c r="A29" s="425" t="s">
        <v>2324</v>
      </c>
      <c r="B29" s="67" t="s">
        <v>2454</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602" t="s">
        <v>2326</v>
      </c>
      <c r="Q29" s="1506" t="str">
        <f t="shared" si="11"/>
        <v>建筑类型</v>
      </c>
      <c r="R29" s="714" t="s">
        <v>17</v>
      </c>
      <c r="S29" s="715">
        <f t="shared" si="12"/>
        <v>100</v>
      </c>
      <c r="T29" s="714" t="s">
        <v>17</v>
      </c>
      <c r="U29" s="715">
        <f t="shared" si="13"/>
        <v>100</v>
      </c>
      <c r="V29" s="714" t="s">
        <v>17</v>
      </c>
      <c r="W29" s="715">
        <f t="shared" si="14"/>
        <v>100</v>
      </c>
      <c r="X29" s="1509"/>
      <c r="Y29" s="3603" t="s">
        <v>2326</v>
      </c>
      <c r="Z29" s="1510" t="str">
        <f t="shared" si="15"/>
        <v>建筑类型</v>
      </c>
      <c r="AA29" s="1507">
        <f t="shared" si="3"/>
        <v>1</v>
      </c>
      <c r="AB29" s="1507">
        <f t="shared" si="4"/>
        <v>1</v>
      </c>
      <c r="AC29" s="1507">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603"/>
      <c r="Q30" s="716" t="str">
        <f t="shared" si="11"/>
        <v>项目建筑规模</v>
      </c>
      <c r="R30" s="717" t="s">
        <v>17</v>
      </c>
      <c r="S30" s="718" t="e">
        <f t="shared" si="12"/>
        <v>#N/A</v>
      </c>
      <c r="T30" s="717" t="s">
        <v>17</v>
      </c>
      <c r="U30" s="718" t="e">
        <f t="shared" si="13"/>
        <v>#N/A</v>
      </c>
      <c r="V30" s="717" t="s">
        <v>17</v>
      </c>
      <c r="W30" s="718" t="e">
        <f t="shared" si="14"/>
        <v>#N/A</v>
      </c>
      <c r="X30" s="719"/>
      <c r="Y30" s="3603"/>
      <c r="Z30" s="720" t="str">
        <f t="shared" si="15"/>
        <v>项目建筑规模</v>
      </c>
      <c r="AA30" s="1507" t="e">
        <f t="shared" si="3"/>
        <v>#N/A</v>
      </c>
      <c r="AB30" s="1507" t="e">
        <f t="shared" si="4"/>
        <v>#N/A</v>
      </c>
      <c r="AC30" s="1507"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603"/>
      <c r="Q31" s="1506" t="str">
        <f t="shared" si="11"/>
        <v>建筑结构</v>
      </c>
      <c r="R31" s="714" t="s">
        <v>17</v>
      </c>
      <c r="S31" s="715">
        <f t="shared" si="12"/>
        <v>100</v>
      </c>
      <c r="T31" s="714" t="s">
        <v>17</v>
      </c>
      <c r="U31" s="715">
        <f t="shared" si="13"/>
        <v>100</v>
      </c>
      <c r="V31" s="714" t="s">
        <v>17</v>
      </c>
      <c r="W31" s="715">
        <f t="shared" si="14"/>
        <v>100</v>
      </c>
      <c r="X31" s="1509"/>
      <c r="Y31" s="3603"/>
      <c r="Z31" s="1510" t="str">
        <f t="shared" si="15"/>
        <v>建筑结构</v>
      </c>
      <c r="AA31" s="1507">
        <f t="shared" si="3"/>
        <v>1</v>
      </c>
      <c r="AB31" s="1507">
        <f t="shared" si="4"/>
        <v>1</v>
      </c>
      <c r="AC31" s="1507">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603"/>
      <c r="Q32" s="1506" t="str">
        <f t="shared" si="11"/>
        <v>公共部分装修</v>
      </c>
      <c r="R32" s="714" t="s">
        <v>17</v>
      </c>
      <c r="S32" s="715">
        <f t="shared" si="12"/>
        <v>100</v>
      </c>
      <c r="T32" s="714" t="s">
        <v>17</v>
      </c>
      <c r="U32" s="715">
        <f t="shared" si="13"/>
        <v>100</v>
      </c>
      <c r="V32" s="714" t="s">
        <v>17</v>
      </c>
      <c r="W32" s="715">
        <f t="shared" si="14"/>
        <v>100</v>
      </c>
      <c r="X32" s="1509"/>
      <c r="Y32" s="3603"/>
      <c r="Z32" s="1510" t="str">
        <f t="shared" si="15"/>
        <v>公共部分装修</v>
      </c>
      <c r="AA32" s="1507">
        <f t="shared" si="3"/>
        <v>1</v>
      </c>
      <c r="AB32" s="1507">
        <f t="shared" si="4"/>
        <v>1</v>
      </c>
      <c r="AC32" s="1507">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603"/>
      <c r="Q33" s="1506" t="str">
        <f t="shared" si="11"/>
        <v>成新度</v>
      </c>
      <c r="R33" s="714" t="s">
        <v>17</v>
      </c>
      <c r="S33" s="715" t="e">
        <f t="shared" si="12"/>
        <v>#N/A</v>
      </c>
      <c r="T33" s="714" t="s">
        <v>17</v>
      </c>
      <c r="U33" s="715" t="e">
        <f t="shared" si="13"/>
        <v>#N/A</v>
      </c>
      <c r="V33" s="714" t="s">
        <v>17</v>
      </c>
      <c r="W33" s="715" t="e">
        <f t="shared" si="14"/>
        <v>#N/A</v>
      </c>
      <c r="X33" s="1509"/>
      <c r="Y33" s="3603"/>
      <c r="Z33" s="1510" t="str">
        <f t="shared" si="15"/>
        <v>成新度</v>
      </c>
      <c r="AA33" s="1507" t="e">
        <f t="shared" si="3"/>
        <v>#N/A</v>
      </c>
      <c r="AB33" s="1507" t="e">
        <f t="shared" si="4"/>
        <v>#N/A</v>
      </c>
      <c r="AC33" s="1507"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603"/>
      <c r="Q34" s="1497" t="str">
        <f t="shared" si="11"/>
        <v>物业管理</v>
      </c>
      <c r="R34" s="710" t="s">
        <v>17</v>
      </c>
      <c r="S34" s="711">
        <f t="shared" si="12"/>
        <v>100</v>
      </c>
      <c r="T34" s="710" t="s">
        <v>17</v>
      </c>
      <c r="U34" s="711">
        <f t="shared" si="13"/>
        <v>100</v>
      </c>
      <c r="V34" s="710" t="s">
        <v>17</v>
      </c>
      <c r="W34" s="711">
        <f t="shared" si="14"/>
        <v>100</v>
      </c>
      <c r="X34" s="712"/>
      <c r="Y34" s="3603"/>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603" t="s">
        <v>2326</v>
      </c>
      <c r="Q35" s="1506" t="str">
        <f t="shared" si="11"/>
        <v>市政基础设施</v>
      </c>
      <c r="R35" s="714" t="s">
        <v>17</v>
      </c>
      <c r="S35" s="715">
        <f t="shared" si="12"/>
        <v>100</v>
      </c>
      <c r="T35" s="714" t="s">
        <v>17</v>
      </c>
      <c r="U35" s="715">
        <f t="shared" si="13"/>
        <v>100</v>
      </c>
      <c r="V35" s="714" t="s">
        <v>17</v>
      </c>
      <c r="W35" s="715">
        <f t="shared" si="14"/>
        <v>100</v>
      </c>
      <c r="X35" s="1509"/>
      <c r="Y35" s="3603" t="s">
        <v>2326</v>
      </c>
      <c r="Z35" s="1510" t="str">
        <f t="shared" si="15"/>
        <v>市政基础设施</v>
      </c>
      <c r="AA35" s="1507">
        <f t="shared" si="3"/>
        <v>1</v>
      </c>
      <c r="AB35" s="1507">
        <f t="shared" si="4"/>
        <v>1</v>
      </c>
      <c r="AC35" s="1507">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603"/>
      <c r="Q36" s="1506" t="str">
        <f t="shared" si="11"/>
        <v>内部装修</v>
      </c>
      <c r="R36" s="714" t="s">
        <v>17</v>
      </c>
      <c r="S36" s="715">
        <f t="shared" si="12"/>
        <v>100</v>
      </c>
      <c r="T36" s="714" t="s">
        <v>17</v>
      </c>
      <c r="U36" s="715">
        <f t="shared" si="13"/>
        <v>100</v>
      </c>
      <c r="V36" s="714" t="s">
        <v>17</v>
      </c>
      <c r="W36" s="715">
        <f t="shared" si="14"/>
        <v>100</v>
      </c>
      <c r="X36" s="1509"/>
      <c r="Y36" s="3603"/>
      <c r="Z36" s="1510" t="str">
        <f t="shared" si="15"/>
        <v>内部装修</v>
      </c>
      <c r="AA36" s="1507">
        <f t="shared" si="3"/>
        <v>1</v>
      </c>
      <c r="AB36" s="1507">
        <f t="shared" si="4"/>
        <v>1</v>
      </c>
      <c r="AC36" s="1507">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603"/>
      <c r="Q37" s="1506" t="str">
        <f t="shared" si="11"/>
        <v>内部装修状况</v>
      </c>
      <c r="R37" s="714" t="s">
        <v>17</v>
      </c>
      <c r="S37" s="715">
        <f t="shared" si="12"/>
        <v>100</v>
      </c>
      <c r="T37" s="714" t="s">
        <v>17</v>
      </c>
      <c r="U37" s="715">
        <f t="shared" si="13"/>
        <v>100</v>
      </c>
      <c r="V37" s="714" t="s">
        <v>17</v>
      </c>
      <c r="W37" s="715">
        <f t="shared" si="14"/>
        <v>100</v>
      </c>
      <c r="X37" s="1509"/>
      <c r="Y37" s="3603"/>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603"/>
      <c r="Q38" s="716">
        <f t="shared" si="11"/>
        <v>111</v>
      </c>
      <c r="R38" s="717" t="s">
        <v>17</v>
      </c>
      <c r="S38" s="718">
        <f t="shared" si="12"/>
        <v>100</v>
      </c>
      <c r="T38" s="717" t="s">
        <v>17</v>
      </c>
      <c r="U38" s="718">
        <f t="shared" si="13"/>
        <v>100</v>
      </c>
      <c r="V38" s="717" t="s">
        <v>17</v>
      </c>
      <c r="W38" s="718">
        <f t="shared" si="14"/>
        <v>100</v>
      </c>
      <c r="X38" s="719"/>
      <c r="Y38" s="3603"/>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603"/>
      <c r="Q39" s="1506">
        <f t="shared" si="11"/>
        <v>111</v>
      </c>
      <c r="R39" s="714" t="s">
        <v>17</v>
      </c>
      <c r="S39" s="715">
        <f t="shared" si="12"/>
        <v>100</v>
      </c>
      <c r="T39" s="714" t="s">
        <v>17</v>
      </c>
      <c r="U39" s="715">
        <f t="shared" si="13"/>
        <v>100</v>
      </c>
      <c r="V39" s="714" t="s">
        <v>17</v>
      </c>
      <c r="W39" s="715">
        <f t="shared" si="14"/>
        <v>100</v>
      </c>
      <c r="X39" s="1509"/>
      <c r="Y39" s="3603"/>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642"/>
      <c r="Q40" s="1506">
        <f t="shared" si="11"/>
        <v>111</v>
      </c>
      <c r="R40" s="714" t="s">
        <v>17</v>
      </c>
      <c r="S40" s="715">
        <f t="shared" si="12"/>
        <v>100</v>
      </c>
      <c r="T40" s="714" t="s">
        <v>17</v>
      </c>
      <c r="U40" s="715">
        <f t="shared" si="13"/>
        <v>100</v>
      </c>
      <c r="V40" s="714" t="s">
        <v>17</v>
      </c>
      <c r="W40" s="715">
        <f t="shared" si="14"/>
        <v>100</v>
      </c>
      <c r="X40" s="1509"/>
      <c r="Y40" s="3642"/>
      <c r="Z40" s="1510">
        <f t="shared" si="15"/>
        <v>111</v>
      </c>
      <c r="AA40" s="1507">
        <f t="shared" si="3"/>
        <v>1</v>
      </c>
      <c r="AB40" s="1507">
        <f t="shared" si="4"/>
        <v>1</v>
      </c>
      <c r="AC40" s="1507">
        <f t="shared" si="5"/>
        <v>1</v>
      </c>
    </row>
    <row r="41" spans="1:29" ht="15">
      <c r="A41" s="438" t="s">
        <v>2338</v>
      </c>
      <c r="B41" s="439"/>
      <c r="C41" s="1288" t="s">
        <v>1</v>
      </c>
      <c r="D41" s="1289"/>
      <c r="E41" s="1290"/>
      <c r="F41" s="1291"/>
      <c r="G41" s="1292"/>
      <c r="H41" s="1293"/>
      <c r="I41" s="1290"/>
      <c r="J41" s="1293"/>
      <c r="K41" s="723"/>
      <c r="L41" s="1057"/>
      <c r="M41" s="1058"/>
      <c r="N41" s="1045"/>
      <c r="O41" s="1058"/>
      <c r="P41" s="3585" t="str">
        <f>A41</f>
        <v>成交单价（元/平方米）</v>
      </c>
      <c r="Q41" s="3585"/>
      <c r="R41" s="3638">
        <f>E41</f>
        <v>0</v>
      </c>
      <c r="S41" s="3638"/>
      <c r="T41" s="3638">
        <f>G41</f>
        <v>0</v>
      </c>
      <c r="U41" s="3638"/>
      <c r="V41" s="3638">
        <f>I41</f>
        <v>0</v>
      </c>
      <c r="W41" s="3638"/>
      <c r="X41" s="699"/>
      <c r="Y41" s="721"/>
      <c r="Z41" s="699"/>
      <c r="AA41" s="699"/>
      <c r="AB41" s="699"/>
      <c r="AC41" s="699"/>
    </row>
    <row r="42" spans="1:29" ht="15.75" thickBot="1">
      <c r="A42" s="445" t="s">
        <v>2430</v>
      </c>
      <c r="B42" s="446"/>
      <c r="C42" s="1294" t="e">
        <f>R43</f>
        <v>#DIV/0!</v>
      </c>
      <c r="D42" s="2508" t="s">
        <v>2821</v>
      </c>
      <c r="E42" s="1295" t="e">
        <f>R42</f>
        <v>#DIV/0!</v>
      </c>
      <c r="F42" s="2509"/>
      <c r="G42" s="1294" t="e">
        <f>T42</f>
        <v>#DIV/0!</v>
      </c>
      <c r="H42" s="2509"/>
      <c r="I42" s="1295" t="e">
        <f>V42</f>
        <v>#DIV/0!</v>
      </c>
      <c r="J42" s="2509"/>
      <c r="K42" s="2511">
        <f>F42+H42+J42</f>
        <v>0</v>
      </c>
      <c r="L42" s="1057"/>
      <c r="M42" s="1058"/>
      <c r="N42" s="1045"/>
      <c r="O42" s="1058"/>
      <c r="P42" s="3585" t="str">
        <f>A42</f>
        <v>比较价值（元/平方米）</v>
      </c>
      <c r="Q42" s="3585"/>
      <c r="R42" s="3638" t="e">
        <f>IF(F1="售价",ROUND(PRODUCT(R41,AA7:AA40),0),ROUND(PRODUCT(R41,AA7:AA40),1))</f>
        <v>#DIV/0!</v>
      </c>
      <c r="S42" s="3638"/>
      <c r="T42" s="3638" t="e">
        <f>IF(F1="售价",ROUND(PRODUCT(T41,AB7:AB40),0),ROUND(PRODUCT(T41,AB7:AB40),1))</f>
        <v>#DIV/0!</v>
      </c>
      <c r="U42" s="3638"/>
      <c r="V42" s="3638" t="e">
        <f>IF(F1="售价",ROUND(PRODUCT(V41,AC7:AC40),0),ROUND(PRODUCT(V41,AC7:AC40),1))</f>
        <v>#DIV/0!</v>
      </c>
      <c r="W42" s="3638"/>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605" t="str">
        <f>A43</f>
        <v>估价对象XX用房的比较价值（楼面单价，元/平方米）</v>
      </c>
      <c r="Q43" s="3606"/>
      <c r="R43" s="3637" t="e">
        <f>IF(F1="售价",ROUND(IF(D42="简单平均",AVERAGE(R42:V42),R42*F42+T42*H42+V42*J42),0),ROUND(IF(D42="简单平均",AVERAGE(R42:V42),R42*F42+T42*H42+V42*J42),1))</f>
        <v>#DIV/0!</v>
      </c>
      <c r="S43" s="3637"/>
      <c r="T43" s="3637"/>
      <c r="U43" s="3637"/>
      <c r="V43" s="3637"/>
      <c r="W43" s="3637"/>
      <c r="X43" s="699"/>
      <c r="Y43" s="699"/>
      <c r="Z43" s="699"/>
      <c r="AA43" s="699"/>
      <c r="AB43" s="699"/>
      <c r="AC43" s="699"/>
    </row>
    <row r="44" spans="1:29">
      <c r="A44" s="2924"/>
      <c r="B44" s="2924"/>
      <c r="C44" s="2924"/>
      <c r="D44" s="2924"/>
      <c r="E44" s="2924"/>
      <c r="F44" s="2924"/>
      <c r="G44" s="2928"/>
      <c r="H44" s="2924"/>
      <c r="I44" s="2924"/>
      <c r="J44" s="2924"/>
      <c r="K44" s="2929"/>
      <c r="L44" s="1020"/>
      <c r="M44" s="1058"/>
      <c r="N44" s="1058"/>
      <c r="O44" s="1058"/>
    </row>
    <row r="45" spans="1:29">
      <c r="A45" s="2924"/>
      <c r="B45" s="2924"/>
      <c r="C45" s="2924"/>
      <c r="D45" s="2924"/>
      <c r="E45" s="2924"/>
      <c r="F45" s="2924"/>
      <c r="G45" s="2924"/>
      <c r="H45" s="2924"/>
      <c r="I45" s="2924"/>
      <c r="J45" s="2924"/>
      <c r="K45" s="2929"/>
      <c r="L45" s="1020"/>
      <c r="M45" s="1058"/>
      <c r="N45" s="1058"/>
      <c r="O45" s="1058"/>
    </row>
    <row r="46" spans="1:29" ht="13.5" customHeight="1">
      <c r="A46" s="2924"/>
      <c r="B46" s="2924"/>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1020"/>
      <c r="M46" s="1058"/>
      <c r="N46" s="1058"/>
      <c r="O46" s="1058"/>
    </row>
    <row r="47" spans="1:29" ht="13.5" customHeight="1">
      <c r="A47" s="2924"/>
      <c r="B47" s="2924"/>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1020"/>
      <c r="M47" s="1058"/>
      <c r="N47" s="1058"/>
      <c r="O47" s="1058"/>
    </row>
    <row r="48" spans="1:29" s="459" customFormat="1" ht="13.5" customHeight="1">
      <c r="A48" s="2927"/>
      <c r="B48" s="2927"/>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1061"/>
      <c r="M48" s="1059"/>
      <c r="N48" s="1059"/>
      <c r="O48" s="1059"/>
    </row>
    <row r="49" spans="1:17" s="459" customFormat="1">
      <c r="A49" s="2927"/>
      <c r="B49" s="2930"/>
      <c r="C49" s="2931"/>
      <c r="D49" s="2927"/>
      <c r="E49" s="2927"/>
      <c r="F49" s="2927"/>
      <c r="G49" s="2927"/>
      <c r="H49" s="2927"/>
      <c r="I49" s="2927"/>
      <c r="J49" s="2927"/>
      <c r="K49" s="2932"/>
      <c r="L49" s="1061"/>
      <c r="M49" s="1059"/>
      <c r="N49" s="1059"/>
      <c r="O49" s="1059"/>
    </row>
    <row r="50" spans="1:17">
      <c r="A50" s="2924"/>
      <c r="B50" s="2930"/>
      <c r="C50" s="2931"/>
      <c r="D50" s="2924"/>
      <c r="E50" s="2924"/>
      <c r="F50" s="2924"/>
      <c r="G50" s="2924"/>
      <c r="H50" s="2924"/>
      <c r="I50" s="2924"/>
      <c r="J50" s="2924"/>
      <c r="K50" s="2929"/>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8" t="str">
        <f>YEAR(C7)&amp;"-"&amp;MONTH(C7)</f>
        <v>2021-12</v>
      </c>
      <c r="D52" s="1319">
        <f>EDATE(C52,-1)</f>
        <v>44501</v>
      </c>
      <c r="E52" s="1319">
        <f t="shared" ref="E52:O52" si="16">EDATE(D52,-1)</f>
        <v>44470</v>
      </c>
      <c r="F52" s="1319">
        <f t="shared" si="16"/>
        <v>44440</v>
      </c>
      <c r="G52" s="1319">
        <f t="shared" si="16"/>
        <v>44409</v>
      </c>
      <c r="H52" s="1319">
        <f t="shared" si="16"/>
        <v>44378</v>
      </c>
      <c r="I52" s="1319">
        <f t="shared" si="16"/>
        <v>44348</v>
      </c>
      <c r="J52" s="1319">
        <f t="shared" si="16"/>
        <v>44317</v>
      </c>
      <c r="K52" s="1319">
        <f t="shared" si="16"/>
        <v>44287</v>
      </c>
      <c r="L52" s="1319">
        <f t="shared" si="16"/>
        <v>44256</v>
      </c>
      <c r="M52" s="1319">
        <f t="shared" si="16"/>
        <v>44228</v>
      </c>
      <c r="N52" s="1319">
        <f t="shared" si="16"/>
        <v>44197</v>
      </c>
      <c r="O52" s="1319">
        <f t="shared" si="16"/>
        <v>44166</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9"/>
      <c r="O54" s="2970"/>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66"/>
      <c r="F1" s="2035"/>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t="e">
        <f ca="1">IF(C2="——",IF(B37="元/平方米",ROUND(C39*D3/10000,0),ROUND(F3*C39/10000,0)),IF(B37="元/平方米",ROUND(C39*D3/10000,0),ROUND(F3*C39/10000,0))-D2)</f>
        <v>#DIV/0!</v>
      </c>
      <c r="C2" s="2037"/>
      <c r="D2" s="1038" t="e">
        <f ca="1">SUMIF(INDIRECT("'"&amp;F2&amp;"'"&amp;"!A:A"),"承租人权益价值",INDIRECT("'"&amp;F2&amp;"'"&amp;"!c:c"))</f>
        <v>#REF!</v>
      </c>
      <c r="E2" s="2038" t="s">
        <v>2089</v>
      </c>
      <c r="F2" s="2039"/>
      <c r="G2" s="1039"/>
      <c r="H2" s="1039"/>
      <c r="I2" s="1039"/>
      <c r="J2" s="1039"/>
      <c r="K2" s="1041"/>
      <c r="L2" s="2933"/>
      <c r="M2" s="2934"/>
      <c r="N2" s="2934"/>
      <c r="O2" s="2934"/>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3"/>
      <c r="M3" s="2934"/>
      <c r="N3" s="2934"/>
      <c r="O3" s="2934"/>
      <c r="P3" s="1299"/>
      <c r="Q3" s="708"/>
      <c r="R3" s="708"/>
      <c r="S3" s="708"/>
      <c r="T3" s="708"/>
      <c r="U3" s="708"/>
      <c r="V3" s="708"/>
      <c r="W3" s="708"/>
      <c r="X3" s="708"/>
      <c r="Y3" s="708"/>
      <c r="Z3" s="708"/>
      <c r="AA3" s="708"/>
      <c r="AB3" s="725"/>
      <c r="AC3" s="722"/>
    </row>
    <row r="4" spans="1:29" ht="15">
      <c r="A4" s="361" t="s">
        <v>2406</v>
      </c>
      <c r="B4" s="362"/>
      <c r="C4" s="3586" t="s">
        <v>2407</v>
      </c>
      <c r="D4" s="3587"/>
      <c r="E4" s="3588" t="s">
        <v>2408</v>
      </c>
      <c r="F4" s="3589"/>
      <c r="G4" s="3586" t="s">
        <v>2409</v>
      </c>
      <c r="H4" s="3587"/>
      <c r="I4" s="3586" t="s">
        <v>2410</v>
      </c>
      <c r="J4" s="3587"/>
      <c r="K4" s="567" t="s">
        <v>2411</v>
      </c>
      <c r="L4" s="2914"/>
      <c r="M4" s="2915"/>
      <c r="N4" s="2915"/>
      <c r="O4" s="2915"/>
      <c r="P4" s="3590" t="s">
        <v>2412</v>
      </c>
      <c r="Q4" s="3591"/>
      <c r="R4" s="3573" t="s">
        <v>2408</v>
      </c>
      <c r="S4" s="3574"/>
      <c r="T4" s="3573" t="s">
        <v>2409</v>
      </c>
      <c r="U4" s="3574"/>
      <c r="V4" s="3598" t="s">
        <v>2410</v>
      </c>
      <c r="W4" s="3598"/>
      <c r="X4" s="1509"/>
      <c r="Y4" s="3573" t="s">
        <v>2412</v>
      </c>
      <c r="Z4" s="3574"/>
      <c r="AA4" s="3568" t="s">
        <v>2408</v>
      </c>
      <c r="AB4" s="3569" t="s">
        <v>2409</v>
      </c>
      <c r="AC4" s="3568" t="s">
        <v>2410</v>
      </c>
    </row>
    <row r="5" spans="1:29" ht="15">
      <c r="A5" s="364"/>
      <c r="B5" s="365"/>
      <c r="C5" s="3579" t="s">
        <v>2303</v>
      </c>
      <c r="D5" s="3580"/>
      <c r="E5" s="3577" t="s">
        <v>2304</v>
      </c>
      <c r="F5" s="3578"/>
      <c r="G5" s="3579" t="s">
        <v>2305</v>
      </c>
      <c r="H5" s="3580"/>
      <c r="I5" s="3579" t="s">
        <v>2306</v>
      </c>
      <c r="J5" s="3580"/>
      <c r="K5" s="567"/>
      <c r="L5" s="2914"/>
      <c r="M5" s="2915"/>
      <c r="N5" s="2915"/>
      <c r="O5" s="2915"/>
      <c r="P5" s="3592"/>
      <c r="Q5" s="3593"/>
      <c r="R5" s="3575"/>
      <c r="S5" s="3576"/>
      <c r="T5" s="3575"/>
      <c r="U5" s="3576"/>
      <c r="V5" s="3598"/>
      <c r="W5" s="3598"/>
      <c r="X5" s="1509"/>
      <c r="Y5" s="3575"/>
      <c r="Z5" s="3576"/>
      <c r="AA5" s="3569"/>
      <c r="AB5" s="3569"/>
      <c r="AC5" s="3569"/>
    </row>
    <row r="6" spans="1:29" ht="15.75" thickBot="1">
      <c r="A6" s="366"/>
      <c r="B6" s="367"/>
      <c r="C6" s="3581" t="s">
        <v>2307</v>
      </c>
      <c r="D6" s="3582"/>
      <c r="E6" s="3583" t="s">
        <v>2307</v>
      </c>
      <c r="F6" s="3584"/>
      <c r="G6" s="3581" t="s">
        <v>2307</v>
      </c>
      <c r="H6" s="3582"/>
      <c r="I6" s="3581" t="s">
        <v>2307</v>
      </c>
      <c r="J6" s="3582"/>
      <c r="K6" s="567" t="s">
        <v>2308</v>
      </c>
      <c r="L6" s="2914"/>
      <c r="M6" s="2915"/>
      <c r="N6" s="2915"/>
      <c r="O6" s="2915"/>
      <c r="P6" s="3594"/>
      <c r="Q6" s="3595"/>
      <c r="R6" s="3575"/>
      <c r="S6" s="3576"/>
      <c r="T6" s="3596"/>
      <c r="U6" s="3597"/>
      <c r="V6" s="3598"/>
      <c r="W6" s="3598"/>
      <c r="X6" s="1509"/>
      <c r="Y6" s="3596"/>
      <c r="Z6" s="3597"/>
      <c r="AA6" s="3570"/>
      <c r="AB6" s="3570"/>
      <c r="AC6" s="3570"/>
    </row>
    <row r="7" spans="1:29" s="113" customFormat="1" ht="15.75" thickBot="1">
      <c r="A7" s="368" t="s">
        <v>2309</v>
      </c>
      <c r="B7" s="369"/>
      <c r="C7" s="370">
        <f>'数据-取费表'!B2</f>
        <v>44543</v>
      </c>
      <c r="D7" s="371">
        <v>100</v>
      </c>
      <c r="E7" s="372"/>
      <c r="F7" s="373">
        <f>SUMIF(48:48,YEAR(E7)&amp;"-"&amp;MONTH(E7),49:49)</f>
        <v>0</v>
      </c>
      <c r="G7" s="372"/>
      <c r="H7" s="371">
        <f>SUMIF(48:48,YEAR(G7)&amp;"-"&amp;MONTH(G7),49:49)</f>
        <v>0</v>
      </c>
      <c r="I7" s="372"/>
      <c r="J7" s="371">
        <f>SUMIF(48:48,YEAR(I7)&amp;"-"&amp;MONTH(I7),49:49)</f>
        <v>0</v>
      </c>
      <c r="K7" s="568"/>
      <c r="L7" s="2916"/>
      <c r="M7" s="2917"/>
      <c r="N7" s="2917"/>
      <c r="O7" s="2917"/>
      <c r="P7" s="3571" t="s">
        <v>2310</v>
      </c>
      <c r="Q7" s="3599"/>
      <c r="R7" s="710" t="s">
        <v>17</v>
      </c>
      <c r="S7" s="711">
        <f t="shared" ref="S7:S14" si="0">F7</f>
        <v>0</v>
      </c>
      <c r="T7" s="710" t="s">
        <v>17</v>
      </c>
      <c r="U7" s="711">
        <f t="shared" ref="U7:U14" si="1">H7</f>
        <v>0</v>
      </c>
      <c r="V7" s="710" t="s">
        <v>17</v>
      </c>
      <c r="W7" s="711">
        <f t="shared" ref="W7:W14" si="2">J7</f>
        <v>0</v>
      </c>
      <c r="X7" s="712"/>
      <c r="Y7" s="3571" t="s">
        <v>2310</v>
      </c>
      <c r="Z7" s="3572"/>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6"/>
      <c r="M8" s="2917"/>
      <c r="N8" s="2917"/>
      <c r="O8" s="2917"/>
      <c r="P8" s="3571" t="s">
        <v>2313</v>
      </c>
      <c r="Q8" s="3572"/>
      <c r="R8" s="710" t="s">
        <v>17</v>
      </c>
      <c r="S8" s="711">
        <f t="shared" si="0"/>
        <v>0</v>
      </c>
      <c r="T8" s="710" t="s">
        <v>17</v>
      </c>
      <c r="U8" s="711">
        <f t="shared" si="1"/>
        <v>0</v>
      </c>
      <c r="V8" s="710" t="s">
        <v>17</v>
      </c>
      <c r="W8" s="711">
        <f t="shared" si="2"/>
        <v>0</v>
      </c>
      <c r="X8" s="712"/>
      <c r="Y8" s="3571" t="s">
        <v>2313</v>
      </c>
      <c r="Z8" s="3572"/>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6"/>
      <c r="M9" s="2917"/>
      <c r="N9" s="2917"/>
      <c r="O9" s="2917"/>
      <c r="P9" s="3585" t="s">
        <v>2316</v>
      </c>
      <c r="Q9" s="1497" t="str">
        <f t="shared" ref="Q9:Q14" si="6">B9</f>
        <v>用途</v>
      </c>
      <c r="R9" s="710" t="s">
        <v>17</v>
      </c>
      <c r="S9" s="711">
        <f t="shared" si="0"/>
        <v>100</v>
      </c>
      <c r="T9" s="710" t="s">
        <v>17</v>
      </c>
      <c r="U9" s="711">
        <f t="shared" si="1"/>
        <v>100</v>
      </c>
      <c r="V9" s="710" t="s">
        <v>17</v>
      </c>
      <c r="W9" s="711">
        <f t="shared" si="2"/>
        <v>100</v>
      </c>
      <c r="X9" s="712"/>
      <c r="Y9" s="3541"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8"/>
      <c r="M10" s="2919"/>
      <c r="N10" s="2919"/>
      <c r="O10" s="2919"/>
      <c r="P10" s="3585"/>
      <c r="Q10" s="1497" t="str">
        <f t="shared" si="6"/>
        <v>土地使用年限（年）</v>
      </c>
      <c r="R10" s="710" t="s">
        <v>17</v>
      </c>
      <c r="S10" s="711">
        <f t="shared" si="0"/>
        <v>100</v>
      </c>
      <c r="T10" s="710" t="s">
        <v>17</v>
      </c>
      <c r="U10" s="711">
        <f t="shared" si="1"/>
        <v>100</v>
      </c>
      <c r="V10" s="710" t="s">
        <v>17</v>
      </c>
      <c r="W10" s="711">
        <f t="shared" si="2"/>
        <v>100</v>
      </c>
      <c r="X10" s="712"/>
      <c r="Y10" s="3541"/>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20"/>
      <c r="M11" s="2915"/>
      <c r="N11" s="2915"/>
      <c r="O11" s="2915"/>
      <c r="P11" s="3585"/>
      <c r="Q11" s="1497">
        <f t="shared" si="6"/>
        <v>111</v>
      </c>
      <c r="R11" s="710" t="s">
        <v>17</v>
      </c>
      <c r="S11" s="711">
        <f t="shared" si="0"/>
        <v>100</v>
      </c>
      <c r="T11" s="710" t="s">
        <v>17</v>
      </c>
      <c r="U11" s="711">
        <f t="shared" si="1"/>
        <v>100</v>
      </c>
      <c r="V11" s="710" t="s">
        <v>17</v>
      </c>
      <c r="W11" s="711">
        <f t="shared" si="2"/>
        <v>100</v>
      </c>
      <c r="X11" s="712"/>
      <c r="Y11" s="3541"/>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6"/>
      <c r="M12" s="2917"/>
      <c r="N12" s="2917"/>
      <c r="O12" s="2917"/>
      <c r="P12" s="3585"/>
      <c r="Q12" s="1497">
        <f t="shared" si="6"/>
        <v>111</v>
      </c>
      <c r="R12" s="710" t="s">
        <v>17</v>
      </c>
      <c r="S12" s="711">
        <f t="shared" si="0"/>
        <v>100</v>
      </c>
      <c r="T12" s="710" t="s">
        <v>17</v>
      </c>
      <c r="U12" s="711">
        <f t="shared" si="1"/>
        <v>100</v>
      </c>
      <c r="V12" s="710" t="s">
        <v>17</v>
      </c>
      <c r="W12" s="711">
        <f t="shared" si="2"/>
        <v>100</v>
      </c>
      <c r="X12" s="712"/>
      <c r="Y12" s="3541"/>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1"/>
      <c r="M13" s="2915"/>
      <c r="N13" s="2915"/>
      <c r="O13" s="2915"/>
      <c r="P13" s="3585"/>
      <c r="Q13" s="1497">
        <f t="shared" si="6"/>
        <v>111</v>
      </c>
      <c r="R13" s="710" t="s">
        <v>17</v>
      </c>
      <c r="S13" s="711">
        <f t="shared" si="0"/>
        <v>100</v>
      </c>
      <c r="T13" s="710" t="s">
        <v>17</v>
      </c>
      <c r="U13" s="711">
        <f t="shared" si="1"/>
        <v>100</v>
      </c>
      <c r="V13" s="710" t="s">
        <v>17</v>
      </c>
      <c r="W13" s="711">
        <f t="shared" si="2"/>
        <v>100</v>
      </c>
      <c r="X13" s="712"/>
      <c r="Y13" s="3541"/>
      <c r="Z13" s="55">
        <f t="shared" si="7"/>
        <v>111</v>
      </c>
      <c r="AA13" s="713">
        <f t="shared" si="3"/>
        <v>1</v>
      </c>
      <c r="AB13" s="713">
        <f t="shared" si="4"/>
        <v>1</v>
      </c>
      <c r="AC13" s="713">
        <f t="shared" si="5"/>
        <v>1</v>
      </c>
    </row>
    <row r="14" spans="1:29" ht="85.5">
      <c r="A14" s="361" t="s">
        <v>2320</v>
      </c>
      <c r="B14" s="585" t="s">
        <v>2470</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1"/>
      <c r="M14" s="2915"/>
      <c r="N14" s="2915"/>
      <c r="O14" s="2915"/>
      <c r="P14" s="3600" t="s">
        <v>2321</v>
      </c>
      <c r="Q14" s="1506" t="str">
        <f t="shared" si="6"/>
        <v>交通便捷度</v>
      </c>
      <c r="R14" s="714" t="s">
        <v>17</v>
      </c>
      <c r="S14" s="715">
        <f t="shared" si="0"/>
        <v>100</v>
      </c>
      <c r="T14" s="714" t="s">
        <v>17</v>
      </c>
      <c r="U14" s="715">
        <f t="shared" si="1"/>
        <v>100</v>
      </c>
      <c r="V14" s="714" t="s">
        <v>17</v>
      </c>
      <c r="W14" s="715">
        <f t="shared" si="2"/>
        <v>100</v>
      </c>
      <c r="X14" s="1509"/>
      <c r="Y14" s="3600" t="s">
        <v>2321</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1"/>
      <c r="M15" s="2915"/>
      <c r="N15" s="2915"/>
      <c r="O15" s="2915"/>
      <c r="P15" s="3601"/>
      <c r="Q15" s="1506"/>
      <c r="R15" s="714"/>
      <c r="S15" s="715"/>
      <c r="T15" s="714"/>
      <c r="U15" s="715"/>
      <c r="V15" s="714"/>
      <c r="W15" s="715"/>
      <c r="X15" s="1509"/>
      <c r="Y15" s="3601"/>
      <c r="Z15" s="1510"/>
      <c r="AA15" s="1507">
        <v>1</v>
      </c>
      <c r="AB15" s="1507">
        <v>1</v>
      </c>
      <c r="AC15" s="1507">
        <v>1</v>
      </c>
    </row>
    <row r="16" spans="1:29" ht="42.75">
      <c r="A16" s="364"/>
      <c r="B16" s="587" t="s">
        <v>2449</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1"/>
      <c r="M16" s="2915"/>
      <c r="N16" s="2915"/>
      <c r="O16" s="2915"/>
      <c r="P16" s="3601"/>
      <c r="Q16" s="1506" t="str">
        <f>B16</f>
        <v>公共配套设施</v>
      </c>
      <c r="R16" s="714" t="s">
        <v>17</v>
      </c>
      <c r="S16" s="715">
        <f>F16</f>
        <v>100</v>
      </c>
      <c r="T16" s="714" t="s">
        <v>17</v>
      </c>
      <c r="U16" s="715">
        <f>H16</f>
        <v>100</v>
      </c>
      <c r="V16" s="714" t="s">
        <v>17</v>
      </c>
      <c r="W16" s="715">
        <f>J16</f>
        <v>100</v>
      </c>
      <c r="X16" s="1509"/>
      <c r="Y16" s="3601"/>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21"/>
      <c r="M17" s="2915"/>
      <c r="N17" s="2915"/>
      <c r="O17" s="2915"/>
      <c r="P17" s="3601"/>
      <c r="Q17" s="1506"/>
      <c r="R17" s="714"/>
      <c r="S17" s="715"/>
      <c r="T17" s="714"/>
      <c r="U17" s="715"/>
      <c r="V17" s="714"/>
      <c r="W17" s="715"/>
      <c r="X17" s="1509"/>
      <c r="Y17" s="3601"/>
      <c r="Z17" s="1510"/>
      <c r="AA17" s="1507">
        <v>1</v>
      </c>
      <c r="AB17" s="1507">
        <v>1</v>
      </c>
      <c r="AC17" s="1507">
        <v>1</v>
      </c>
    </row>
    <row r="18" spans="1:29" ht="28.5">
      <c r="A18" s="364"/>
      <c r="B18" s="589" t="s">
        <v>2450</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1"/>
      <c r="M18" s="2915"/>
      <c r="N18" s="2915"/>
      <c r="O18" s="2915"/>
      <c r="P18" s="3601"/>
      <c r="Q18" s="1506" t="str">
        <f>B18</f>
        <v>基础设施水平</v>
      </c>
      <c r="R18" s="714" t="s">
        <v>17</v>
      </c>
      <c r="S18" s="715">
        <f>F18</f>
        <v>100</v>
      </c>
      <c r="T18" s="714" t="s">
        <v>17</v>
      </c>
      <c r="U18" s="715">
        <f>H18</f>
        <v>100</v>
      </c>
      <c r="V18" s="714" t="s">
        <v>17</v>
      </c>
      <c r="W18" s="715">
        <f>J18</f>
        <v>100</v>
      </c>
      <c r="X18" s="1509"/>
      <c r="Y18" s="3601"/>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21"/>
      <c r="M19" s="2915"/>
      <c r="N19" s="2915"/>
      <c r="O19" s="2915"/>
      <c r="P19" s="3601"/>
      <c r="Q19" s="1506"/>
      <c r="R19" s="714"/>
      <c r="S19" s="715"/>
      <c r="T19" s="714"/>
      <c r="U19" s="715"/>
      <c r="V19" s="714"/>
      <c r="W19" s="715"/>
      <c r="X19" s="1509"/>
      <c r="Y19" s="3601"/>
      <c r="Z19" s="1510"/>
      <c r="AA19" s="1507">
        <v>1</v>
      </c>
      <c r="AB19" s="1507">
        <v>1</v>
      </c>
      <c r="AC19" s="1507">
        <v>1</v>
      </c>
    </row>
    <row r="20" spans="1:29" ht="57">
      <c r="A20" s="364"/>
      <c r="B20" s="587" t="s">
        <v>2471</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1"/>
      <c r="M20" s="2915"/>
      <c r="N20" s="2915"/>
      <c r="O20" s="2915"/>
      <c r="P20" s="3601"/>
      <c r="Q20" s="1506" t="str">
        <f>B20</f>
        <v>自然及人文环境</v>
      </c>
      <c r="R20" s="714" t="s">
        <v>17</v>
      </c>
      <c r="S20" s="715">
        <f>F20</f>
        <v>100</v>
      </c>
      <c r="T20" s="714" t="s">
        <v>17</v>
      </c>
      <c r="U20" s="715">
        <f>H20</f>
        <v>100</v>
      </c>
      <c r="V20" s="714" t="s">
        <v>17</v>
      </c>
      <c r="W20" s="715">
        <f>J20</f>
        <v>100</v>
      </c>
      <c r="X20" s="1509"/>
      <c r="Y20" s="3601"/>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1"/>
      <c r="M21" s="2915"/>
      <c r="N21" s="2915"/>
      <c r="O21" s="2915"/>
      <c r="P21" s="3601"/>
      <c r="Q21" s="1506"/>
      <c r="R21" s="714"/>
      <c r="S21" s="715"/>
      <c r="T21" s="714"/>
      <c r="U21" s="715"/>
      <c r="V21" s="714"/>
      <c r="W21" s="715"/>
      <c r="X21" s="1509"/>
      <c r="Y21" s="3601"/>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21"/>
      <c r="M22" s="2915"/>
      <c r="N22" s="2915"/>
      <c r="O22" s="2915"/>
      <c r="P22" s="3601"/>
      <c r="Q22" s="1506" t="str">
        <f>B22</f>
        <v>楼层</v>
      </c>
      <c r="R22" s="714" t="s">
        <v>17</v>
      </c>
      <c r="S22" s="715">
        <f>F22</f>
        <v>100</v>
      </c>
      <c r="T22" s="714" t="s">
        <v>17</v>
      </c>
      <c r="U22" s="715">
        <f>H22</f>
        <v>100</v>
      </c>
      <c r="V22" s="714" t="s">
        <v>17</v>
      </c>
      <c r="W22" s="715">
        <f>J22</f>
        <v>100</v>
      </c>
      <c r="X22" s="1509"/>
      <c r="Y22" s="3601"/>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1"/>
      <c r="M23" s="2915"/>
      <c r="N23" s="2915"/>
      <c r="O23" s="2915"/>
      <c r="P23" s="3601"/>
      <c r="Q23" s="1506">
        <f>B23</f>
        <v>111</v>
      </c>
      <c r="R23" s="714" t="s">
        <v>17</v>
      </c>
      <c r="S23" s="715">
        <f>F23</f>
        <v>100</v>
      </c>
      <c r="T23" s="714" t="s">
        <v>17</v>
      </c>
      <c r="U23" s="715">
        <f>H23</f>
        <v>100</v>
      </c>
      <c r="V23" s="714" t="s">
        <v>17</v>
      </c>
      <c r="W23" s="715">
        <f>J23</f>
        <v>100</v>
      </c>
      <c r="X23" s="1509"/>
      <c r="Y23" s="3601"/>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1"/>
      <c r="M24" s="2915"/>
      <c r="N24" s="2915"/>
      <c r="O24" s="2915"/>
      <c r="P24" s="3601"/>
      <c r="Q24" s="1506">
        <f t="shared" ref="Q24:Q36" si="11">B24</f>
        <v>111</v>
      </c>
      <c r="R24" s="714" t="s">
        <v>17</v>
      </c>
      <c r="S24" s="715">
        <f>F24</f>
        <v>100</v>
      </c>
      <c r="T24" s="714" t="s">
        <v>17</v>
      </c>
      <c r="U24" s="715">
        <f>H24</f>
        <v>100</v>
      </c>
      <c r="V24" s="714" t="s">
        <v>17</v>
      </c>
      <c r="W24" s="715">
        <f>J24</f>
        <v>100</v>
      </c>
      <c r="X24" s="1509"/>
      <c r="Y24" s="3601"/>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6"/>
      <c r="M25" s="2917"/>
      <c r="N25" s="2917"/>
      <c r="O25" s="2917"/>
      <c r="P25" s="3601"/>
      <c r="Q25" s="1497">
        <f t="shared" si="11"/>
        <v>111</v>
      </c>
      <c r="R25" s="710" t="s">
        <v>17</v>
      </c>
      <c r="S25" s="711">
        <f>F25</f>
        <v>100</v>
      </c>
      <c r="T25" s="710" t="s">
        <v>17</v>
      </c>
      <c r="U25" s="711">
        <f>H25</f>
        <v>100</v>
      </c>
      <c r="V25" s="710" t="s">
        <v>17</v>
      </c>
      <c r="W25" s="711">
        <f>J25</f>
        <v>100</v>
      </c>
      <c r="X25" s="712"/>
      <c r="Y25" s="3601"/>
      <c r="Z25" s="55">
        <f>Q25</f>
        <v>111</v>
      </c>
      <c r="AA25" s="1507">
        <f>D25/F25</f>
        <v>1</v>
      </c>
      <c r="AB25" s="1507">
        <f>D25/H25</f>
        <v>1</v>
      </c>
      <c r="AC25" s="1507">
        <f>D25/J25</f>
        <v>1</v>
      </c>
    </row>
    <row r="26" spans="1:29" ht="28.5">
      <c r="A26" s="608" t="s">
        <v>2324</v>
      </c>
      <c r="B26" s="66" t="s">
        <v>2473</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21"/>
      <c r="M26" s="2915"/>
      <c r="N26" s="2915"/>
      <c r="O26" s="2915"/>
      <c r="P26" s="3602"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603"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20"/>
      <c r="M27" s="2922"/>
      <c r="N27" s="2922"/>
      <c r="O27" s="2922"/>
      <c r="P27" s="3603"/>
      <c r="Q27" s="716" t="str">
        <f t="shared" si="11"/>
        <v>项目停车位配比</v>
      </c>
      <c r="R27" s="717" t="s">
        <v>17</v>
      </c>
      <c r="S27" s="718">
        <f t="shared" si="12"/>
        <v>100</v>
      </c>
      <c r="T27" s="717" t="s">
        <v>17</v>
      </c>
      <c r="U27" s="718">
        <f t="shared" si="13"/>
        <v>100</v>
      </c>
      <c r="V27" s="717" t="s">
        <v>17</v>
      </c>
      <c r="W27" s="718">
        <f t="shared" si="14"/>
        <v>100</v>
      </c>
      <c r="X27" s="719"/>
      <c r="Y27" s="3603"/>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21"/>
      <c r="M28" s="2915"/>
      <c r="N28" s="2915"/>
      <c r="O28" s="2915"/>
      <c r="P28" s="3603"/>
      <c r="Q28" s="1506" t="str">
        <f t="shared" si="11"/>
        <v>公共部分装修</v>
      </c>
      <c r="R28" s="714" t="s">
        <v>17</v>
      </c>
      <c r="S28" s="715">
        <f t="shared" si="12"/>
        <v>100</v>
      </c>
      <c r="T28" s="714" t="s">
        <v>17</v>
      </c>
      <c r="U28" s="715">
        <f t="shared" si="13"/>
        <v>100</v>
      </c>
      <c r="V28" s="714" t="s">
        <v>17</v>
      </c>
      <c r="W28" s="715">
        <f t="shared" si="14"/>
        <v>100</v>
      </c>
      <c r="X28" s="1509"/>
      <c r="Y28" s="3603"/>
      <c r="Z28" s="1510" t="str">
        <f t="shared" si="15"/>
        <v>公共部分装修</v>
      </c>
      <c r="AA28" s="1507">
        <f t="shared" si="3"/>
        <v>1</v>
      </c>
      <c r="AB28" s="1507">
        <f t="shared" si="4"/>
        <v>1</v>
      </c>
      <c r="AC28" s="1507">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1"/>
      <c r="M29" s="2915"/>
      <c r="N29" s="2915"/>
      <c r="O29" s="2915"/>
      <c r="P29" s="3603"/>
      <c r="Q29" s="1506" t="str">
        <f t="shared" si="11"/>
        <v>成新率</v>
      </c>
      <c r="R29" s="714" t="s">
        <v>17</v>
      </c>
      <c r="S29" s="715" t="e">
        <f t="shared" si="12"/>
        <v>#N/A</v>
      </c>
      <c r="T29" s="714" t="s">
        <v>17</v>
      </c>
      <c r="U29" s="715" t="e">
        <f t="shared" si="13"/>
        <v>#N/A</v>
      </c>
      <c r="V29" s="714" t="s">
        <v>17</v>
      </c>
      <c r="W29" s="715" t="e">
        <f t="shared" si="14"/>
        <v>#N/A</v>
      </c>
      <c r="X29" s="1509"/>
      <c r="Y29" s="3603"/>
      <c r="Z29" s="1510" t="str">
        <f t="shared" si="15"/>
        <v>成新率</v>
      </c>
      <c r="AA29" s="1507" t="e">
        <f t="shared" si="3"/>
        <v>#N/A</v>
      </c>
      <c r="AB29" s="1507" t="e">
        <f t="shared" si="4"/>
        <v>#N/A</v>
      </c>
      <c r="AC29" s="1507"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21"/>
      <c r="M30" s="2915"/>
      <c r="N30" s="2915"/>
      <c r="O30" s="2915"/>
      <c r="P30" s="3603"/>
      <c r="Q30" s="1506" t="str">
        <f t="shared" si="11"/>
        <v>物业等级</v>
      </c>
      <c r="R30" s="714" t="s">
        <v>17</v>
      </c>
      <c r="S30" s="715">
        <f t="shared" si="12"/>
        <v>100</v>
      </c>
      <c r="T30" s="714" t="s">
        <v>17</v>
      </c>
      <c r="U30" s="715">
        <f t="shared" si="13"/>
        <v>100</v>
      </c>
      <c r="V30" s="714" t="s">
        <v>17</v>
      </c>
      <c r="W30" s="715">
        <f t="shared" si="14"/>
        <v>100</v>
      </c>
      <c r="X30" s="1509"/>
      <c r="Y30" s="3603"/>
      <c r="Z30" s="1510" t="str">
        <f t="shared" si="15"/>
        <v>物业等级</v>
      </c>
      <c r="AA30" s="1507">
        <f t="shared" si="3"/>
        <v>1</v>
      </c>
      <c r="AB30" s="1507">
        <f t="shared" si="4"/>
        <v>1</v>
      </c>
      <c r="AC30" s="1507">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6"/>
      <c r="M31" s="2917"/>
      <c r="N31" s="2917"/>
      <c r="O31" s="2917"/>
      <c r="P31" s="3603"/>
      <c r="Q31" s="1497" t="str">
        <f t="shared" si="11"/>
        <v>停车位面积</v>
      </c>
      <c r="R31" s="710" t="s">
        <v>17</v>
      </c>
      <c r="S31" s="711" t="e">
        <f t="shared" si="12"/>
        <v>#N/A</v>
      </c>
      <c r="T31" s="710" t="s">
        <v>17</v>
      </c>
      <c r="U31" s="711" t="e">
        <f t="shared" si="13"/>
        <v>#N/A</v>
      </c>
      <c r="V31" s="710" t="s">
        <v>17</v>
      </c>
      <c r="W31" s="711" t="e">
        <f t="shared" si="14"/>
        <v>#N/A</v>
      </c>
      <c r="X31" s="712"/>
      <c r="Y31" s="3603"/>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21"/>
      <c r="M32" s="2915"/>
      <c r="N32" s="2915"/>
      <c r="O32" s="2915"/>
      <c r="P32" s="3603" t="s">
        <v>2326</v>
      </c>
      <c r="Q32" s="1506" t="str">
        <f t="shared" si="11"/>
        <v>车位类型</v>
      </c>
      <c r="R32" s="714" t="s">
        <v>17</v>
      </c>
      <c r="S32" s="715">
        <f t="shared" si="12"/>
        <v>100</v>
      </c>
      <c r="T32" s="714" t="s">
        <v>17</v>
      </c>
      <c r="U32" s="715">
        <f t="shared" si="13"/>
        <v>100</v>
      </c>
      <c r="V32" s="714" t="s">
        <v>17</v>
      </c>
      <c r="W32" s="715">
        <f t="shared" si="14"/>
        <v>100</v>
      </c>
      <c r="X32" s="1509"/>
      <c r="Y32" s="3603" t="s">
        <v>2326</v>
      </c>
      <c r="Z32" s="1510" t="str">
        <f t="shared" si="15"/>
        <v>车位类型</v>
      </c>
      <c r="AA32" s="1507">
        <f t="shared" si="3"/>
        <v>1</v>
      </c>
      <c r="AB32" s="1507">
        <f t="shared" si="4"/>
        <v>1</v>
      </c>
      <c r="AC32" s="1507">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21"/>
      <c r="M33" s="2915"/>
      <c r="N33" s="2915"/>
      <c r="O33" s="2915"/>
      <c r="P33" s="3603"/>
      <c r="Q33" s="1506" t="str">
        <f t="shared" si="11"/>
        <v>是否直接入户</v>
      </c>
      <c r="R33" s="714" t="s">
        <v>17</v>
      </c>
      <c r="S33" s="715">
        <f t="shared" si="12"/>
        <v>100</v>
      </c>
      <c r="T33" s="714" t="s">
        <v>17</v>
      </c>
      <c r="U33" s="715">
        <f t="shared" si="13"/>
        <v>100</v>
      </c>
      <c r="V33" s="714" t="s">
        <v>17</v>
      </c>
      <c r="W33" s="715">
        <f t="shared" si="14"/>
        <v>100</v>
      </c>
      <c r="X33" s="1509"/>
      <c r="Y33" s="3603"/>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1"/>
      <c r="M34" s="2915"/>
      <c r="N34" s="2915"/>
      <c r="O34" s="2915"/>
      <c r="P34" s="3603"/>
      <c r="Q34" s="1506">
        <f t="shared" si="11"/>
        <v>111</v>
      </c>
      <c r="R34" s="714" t="s">
        <v>17</v>
      </c>
      <c r="S34" s="715">
        <f t="shared" si="12"/>
        <v>100</v>
      </c>
      <c r="T34" s="714" t="s">
        <v>17</v>
      </c>
      <c r="U34" s="715">
        <f t="shared" si="13"/>
        <v>100</v>
      </c>
      <c r="V34" s="714" t="s">
        <v>17</v>
      </c>
      <c r="W34" s="715">
        <f t="shared" si="14"/>
        <v>100</v>
      </c>
      <c r="X34" s="1509"/>
      <c r="Y34" s="3603"/>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20"/>
      <c r="M35" s="2922"/>
      <c r="N35" s="2922"/>
      <c r="O35" s="2922"/>
      <c r="P35" s="3603"/>
      <c r="Q35" s="716">
        <f t="shared" si="11"/>
        <v>111</v>
      </c>
      <c r="R35" s="717" t="s">
        <v>17</v>
      </c>
      <c r="S35" s="718">
        <f t="shared" si="12"/>
        <v>100</v>
      </c>
      <c r="T35" s="717" t="s">
        <v>17</v>
      </c>
      <c r="U35" s="718">
        <f t="shared" si="13"/>
        <v>100</v>
      </c>
      <c r="V35" s="717" t="s">
        <v>17</v>
      </c>
      <c r="W35" s="718">
        <f t="shared" si="14"/>
        <v>100</v>
      </c>
      <c r="X35" s="719"/>
      <c r="Y35" s="3603"/>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1"/>
      <c r="M36" s="2915"/>
      <c r="N36" s="2915"/>
      <c r="O36" s="2915"/>
      <c r="P36" s="3603"/>
      <c r="Q36" s="1506">
        <f t="shared" si="11"/>
        <v>111</v>
      </c>
      <c r="R36" s="714" t="s">
        <v>17</v>
      </c>
      <c r="S36" s="715">
        <f t="shared" si="12"/>
        <v>100</v>
      </c>
      <c r="T36" s="714" t="s">
        <v>17</v>
      </c>
      <c r="U36" s="715">
        <f t="shared" si="13"/>
        <v>100</v>
      </c>
      <c r="V36" s="714" t="s">
        <v>17</v>
      </c>
      <c r="W36" s="715">
        <f t="shared" si="14"/>
        <v>100</v>
      </c>
      <c r="X36" s="1509"/>
      <c r="Y36" s="3603"/>
      <c r="Z36" s="1510">
        <f t="shared" si="15"/>
        <v>111</v>
      </c>
      <c r="AA36" s="1507">
        <f t="shared" si="3"/>
        <v>1</v>
      </c>
      <c r="AB36" s="1507">
        <f t="shared" si="4"/>
        <v>1</v>
      </c>
      <c r="AC36" s="1507">
        <f t="shared" si="5"/>
        <v>1</v>
      </c>
    </row>
    <row r="37" spans="1:29" ht="15">
      <c r="A37" s="438" t="s">
        <v>2481</v>
      </c>
      <c r="B37" s="2129" t="s">
        <v>2482</v>
      </c>
      <c r="C37" s="1288" t="s">
        <v>1</v>
      </c>
      <c r="D37" s="1289"/>
      <c r="E37" s="1290"/>
      <c r="F37" s="1291"/>
      <c r="G37" s="1292"/>
      <c r="H37" s="1293"/>
      <c r="I37" s="1290"/>
      <c r="J37" s="1293"/>
      <c r="K37" s="576"/>
      <c r="L37" s="2923"/>
      <c r="M37" s="2924"/>
      <c r="N37" s="2915"/>
      <c r="O37" s="2924"/>
      <c r="P37" s="3585" t="str">
        <f>A37</f>
        <v>成交单价</v>
      </c>
      <c r="Q37" s="3585"/>
      <c r="R37" s="3638">
        <f>E37</f>
        <v>0</v>
      </c>
      <c r="S37" s="3638"/>
      <c r="T37" s="3638">
        <f>G37</f>
        <v>0</v>
      </c>
      <c r="U37" s="3638"/>
      <c r="V37" s="3638">
        <f>I37</f>
        <v>0</v>
      </c>
      <c r="W37" s="3638"/>
      <c r="X37" s="699"/>
      <c r="Y37" s="721"/>
      <c r="Z37" s="699"/>
      <c r="AA37" s="699"/>
      <c r="AB37" s="699"/>
      <c r="AC37" s="699"/>
    </row>
    <row r="38" spans="1:29" ht="15.75" thickBot="1">
      <c r="A38" s="445" t="s">
        <v>2483</v>
      </c>
      <c r="B38" s="446" t="str">
        <f>B37</f>
        <v>元/车位</v>
      </c>
      <c r="C38" s="1294" t="e">
        <f>R39</f>
        <v>#DIV/0!</v>
      </c>
      <c r="D38" s="2508" t="s">
        <v>2821</v>
      </c>
      <c r="E38" s="1295" t="e">
        <f>R38</f>
        <v>#DIV/0!</v>
      </c>
      <c r="F38" s="2509"/>
      <c r="G38" s="1294" t="e">
        <f>T38</f>
        <v>#DIV/0!</v>
      </c>
      <c r="H38" s="2509"/>
      <c r="I38" s="1295" t="e">
        <f>V38</f>
        <v>#DIV/0!</v>
      </c>
      <c r="J38" s="2509"/>
      <c r="K38" s="2511">
        <f>F38+H38+J38</f>
        <v>0</v>
      </c>
      <c r="L38" s="2923"/>
      <c r="M38" s="2924"/>
      <c r="N38" s="2924"/>
      <c r="O38" s="2924"/>
      <c r="P38" s="3585" t="str">
        <f>A38</f>
        <v>比较价值（元/平方米）</v>
      </c>
      <c r="Q38" s="3585"/>
      <c r="R38" s="3638" t="e">
        <f>IF(F1="售价",ROUND(PRODUCT(R37,AA7:AA36),0),ROUND(PRODUCT(R37,AA7:AA36),1))</f>
        <v>#DIV/0!</v>
      </c>
      <c r="S38" s="3638"/>
      <c r="T38" s="3638" t="e">
        <f>IF(F1="售价",ROUND(PRODUCT(T37,AB7:AB36),0),ROUND(PRODUCT(T37,AB7:AB36),1))</f>
        <v>#DIV/0!</v>
      </c>
      <c r="U38" s="3638"/>
      <c r="V38" s="3638" t="e">
        <f>IF(F1="售价",ROUND(PRODUCT(V37,AC7:AC36),0),ROUND(PRODUCT(V37,AC7:AC36),1))</f>
        <v>#DIV/0!</v>
      </c>
      <c r="W38" s="3638"/>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3"/>
      <c r="M39" s="2924"/>
      <c r="N39" s="2924"/>
      <c r="O39" s="2924"/>
      <c r="P39" s="3605" t="str">
        <f>A39</f>
        <v>估价对象XX用房的比较价值（楼面单价，元/平方米）</v>
      </c>
      <c r="Q39" s="3606"/>
      <c r="R39" s="3660" t="e">
        <f>IF(F1="售价",ROUND(IF(D38="简单平均",AVERAGE(R38:W38),R38*F38+T38*H38+V38*J38),0),ROUND(IF(D38="简单平均",AVERAGE(R38:V38),R38*F38+T38*H38+V38*J38),1))</f>
        <v>#DIV/0!</v>
      </c>
      <c r="S39" s="3660"/>
      <c r="T39" s="3660"/>
      <c r="U39" s="3660"/>
      <c r="V39" s="3660"/>
      <c r="W39" s="3660"/>
      <c r="X39" s="699"/>
      <c r="Y39" s="699"/>
      <c r="Z39" s="699"/>
      <c r="AA39" s="699"/>
      <c r="AB39" s="699"/>
      <c r="AC39" s="699"/>
    </row>
    <row r="40" spans="1:29">
      <c r="A40" s="2924"/>
      <c r="B40" s="2924"/>
      <c r="C40" s="2924"/>
      <c r="D40" s="2924"/>
      <c r="E40" s="2924"/>
      <c r="F40" s="2924"/>
      <c r="G40" s="2928"/>
      <c r="H40" s="2924"/>
      <c r="I40" s="2924"/>
      <c r="J40" s="2924"/>
      <c r="K40" s="2929"/>
      <c r="L40" s="2925"/>
      <c r="M40" s="2924"/>
      <c r="N40" s="2924"/>
      <c r="O40" s="2924"/>
      <c r="P40" s="2955"/>
      <c r="Q40" s="2924"/>
      <c r="R40" s="2924"/>
      <c r="S40" s="2924"/>
      <c r="T40" s="2924"/>
      <c r="U40" s="2924"/>
      <c r="V40" s="2924"/>
      <c r="W40" s="2924"/>
      <c r="X40" s="2924"/>
      <c r="Y40" s="2924"/>
      <c r="Z40" s="2924"/>
      <c r="AA40" s="2924"/>
      <c r="AB40" s="2924"/>
      <c r="AC40" s="2924"/>
    </row>
    <row r="41" spans="1:29">
      <c r="A41" s="2924"/>
      <c r="B41" s="2924"/>
      <c r="C41" s="2924"/>
      <c r="D41" s="2924"/>
      <c r="E41" s="2924"/>
      <c r="F41" s="2924"/>
      <c r="G41" s="2924"/>
      <c r="H41" s="2924"/>
      <c r="I41" s="2924"/>
      <c r="J41" s="2924"/>
      <c r="K41" s="2929"/>
      <c r="L41" s="2925"/>
      <c r="M41" s="2924"/>
      <c r="N41" s="2924"/>
      <c r="O41" s="2924"/>
      <c r="P41" s="2955"/>
      <c r="Q41" s="2924"/>
      <c r="R41" s="2924"/>
      <c r="S41" s="2924"/>
      <c r="T41" s="2924"/>
      <c r="U41" s="2924"/>
      <c r="V41" s="2924"/>
      <c r="W41" s="2924"/>
      <c r="X41" s="2924"/>
      <c r="Y41" s="2924"/>
      <c r="Z41" s="2924"/>
      <c r="AA41" s="2924"/>
      <c r="AB41" s="2924"/>
      <c r="AC41" s="2924"/>
    </row>
    <row r="42" spans="1:29" ht="13.5" customHeight="1">
      <c r="A42" s="2924"/>
      <c r="B42" s="2924"/>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9"/>
      <c r="L42" s="2925"/>
      <c r="M42" s="2924"/>
      <c r="N42" s="2924"/>
      <c r="O42" s="2924"/>
      <c r="P42" s="2955"/>
      <c r="Q42" s="2924"/>
      <c r="R42" s="2924"/>
      <c r="S42" s="2924"/>
      <c r="T42" s="2924"/>
      <c r="U42" s="2924"/>
      <c r="V42" s="2924"/>
      <c r="W42" s="2924"/>
      <c r="X42" s="2924"/>
      <c r="Y42" s="2924"/>
      <c r="Z42" s="2924"/>
      <c r="AA42" s="2924"/>
      <c r="AB42" s="2924"/>
      <c r="AC42" s="2924"/>
    </row>
    <row r="43" spans="1:29" ht="13.5" customHeight="1">
      <c r="A43" s="2924"/>
      <c r="B43" s="2924"/>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9"/>
      <c r="L43" s="2925"/>
      <c r="M43" s="2924"/>
      <c r="N43" s="2924"/>
      <c r="O43" s="2924"/>
      <c r="P43" s="2955"/>
      <c r="Q43" s="2924"/>
      <c r="R43" s="2924"/>
      <c r="S43" s="2924"/>
      <c r="T43" s="2924"/>
      <c r="U43" s="2924"/>
      <c r="V43" s="2924"/>
      <c r="W43" s="2924"/>
      <c r="X43" s="2924"/>
      <c r="Y43" s="2924"/>
      <c r="Z43" s="2924"/>
      <c r="AA43" s="2924"/>
      <c r="AB43" s="2924"/>
      <c r="AC43" s="2924"/>
    </row>
    <row r="44" spans="1:29" s="459" customFormat="1" ht="13.5" customHeight="1">
      <c r="A44" s="2927"/>
      <c r="B44" s="2927"/>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2"/>
      <c r="L44" s="2926"/>
      <c r="M44" s="2927"/>
      <c r="N44" s="2927"/>
      <c r="O44" s="2927"/>
      <c r="P44" s="2956"/>
      <c r="Q44" s="2927"/>
      <c r="R44" s="2927"/>
      <c r="S44" s="2927"/>
      <c r="T44" s="2927"/>
      <c r="U44" s="2927"/>
      <c r="V44" s="2927"/>
      <c r="W44" s="2927"/>
      <c r="X44" s="2927"/>
      <c r="Y44" s="2927"/>
      <c r="Z44" s="2927"/>
      <c r="AA44" s="2927"/>
      <c r="AB44" s="2927"/>
      <c r="AC44" s="2927"/>
    </row>
    <row r="45" spans="1:29" s="459" customFormat="1">
      <c r="A45" s="2927"/>
      <c r="B45" s="2930"/>
      <c r="C45" s="2931"/>
      <c r="D45" s="2927"/>
      <c r="E45" s="2927"/>
      <c r="F45" s="2927"/>
      <c r="G45" s="2927"/>
      <c r="H45" s="2927"/>
      <c r="I45" s="2927"/>
      <c r="J45" s="2927"/>
      <c r="K45" s="2932"/>
      <c r="L45" s="2926"/>
      <c r="M45" s="2927"/>
      <c r="N45" s="2927"/>
      <c r="O45" s="2927"/>
      <c r="P45" s="2956"/>
      <c r="Q45" s="2927"/>
      <c r="R45" s="2927"/>
      <c r="S45" s="2927"/>
      <c r="T45" s="2927"/>
      <c r="U45" s="2927"/>
      <c r="V45" s="2927"/>
      <c r="W45" s="2927"/>
      <c r="X45" s="2927"/>
      <c r="Y45" s="2927"/>
      <c r="Z45" s="2927"/>
      <c r="AA45" s="2927"/>
      <c r="AB45" s="2927"/>
      <c r="AC45" s="2927"/>
    </row>
    <row r="46" spans="1:29">
      <c r="A46" s="2924"/>
      <c r="B46" s="2930"/>
      <c r="C46" s="2931"/>
      <c r="D46" s="2924"/>
      <c r="E46" s="2924"/>
      <c r="F46" s="2924"/>
      <c r="G46" s="2924"/>
      <c r="H46" s="2924"/>
      <c r="I46" s="2924"/>
      <c r="J46" s="2924"/>
      <c r="K46" s="2929"/>
      <c r="L46" s="2925"/>
      <c r="M46" s="2924"/>
      <c r="N46" s="2924"/>
      <c r="O46" s="2924"/>
      <c r="P46" s="2955"/>
      <c r="Q46" s="2924"/>
      <c r="R46" s="2924"/>
      <c r="S46" s="2924"/>
      <c r="T46" s="2924"/>
      <c r="U46" s="2924"/>
      <c r="V46" s="2924"/>
      <c r="W46" s="2924"/>
      <c r="X46" s="2924"/>
      <c r="Y46" s="2924"/>
      <c r="Z46" s="2924"/>
      <c r="AA46" s="2924"/>
      <c r="AB46" s="2924"/>
      <c r="AC46" s="2924"/>
    </row>
    <row r="47" spans="1:29" ht="21.75" thickBot="1">
      <c r="A47" s="1300" t="s">
        <v>2488</v>
      </c>
      <c r="B47" s="1058"/>
      <c r="C47" s="1071"/>
      <c r="D47" s="1071"/>
      <c r="E47" s="1071"/>
      <c r="F47" s="1301"/>
      <c r="G47" s="1301"/>
      <c r="H47" s="1071"/>
      <c r="I47" s="1071"/>
      <c r="J47" s="1071"/>
      <c r="K47" s="1072"/>
      <c r="L47" s="1073"/>
      <c r="M47" s="1071"/>
      <c r="N47" s="2968"/>
      <c r="O47" s="2968"/>
      <c r="P47" s="2957"/>
      <c r="Q47" s="2938"/>
      <c r="R47" s="2924"/>
      <c r="S47" s="2924"/>
      <c r="T47" s="2924"/>
      <c r="U47" s="2924"/>
      <c r="V47" s="2924"/>
      <c r="W47" s="2924"/>
      <c r="X47" s="2924"/>
      <c r="Y47" s="2924"/>
      <c r="Z47" s="2924"/>
      <c r="AA47" s="2924"/>
      <c r="AB47" s="2924"/>
      <c r="AC47" s="2924"/>
    </row>
    <row r="48" spans="1:29" s="465" customFormat="1" ht="15">
      <c r="A48" s="462" t="s">
        <v>2489</v>
      </c>
      <c r="B48" s="463"/>
      <c r="C48" s="1318" t="str">
        <f>YEAR(C7)&amp;"-"&amp;MONTH(C7)</f>
        <v>2021-12</v>
      </c>
      <c r="D48" s="1319">
        <f>EDATE(C48,-1)</f>
        <v>44501</v>
      </c>
      <c r="E48" s="1319">
        <f t="shared" ref="E48:O48" si="16">EDATE(D48,-1)</f>
        <v>44470</v>
      </c>
      <c r="F48" s="1319">
        <f t="shared" si="16"/>
        <v>44440</v>
      </c>
      <c r="G48" s="1319">
        <f t="shared" si="16"/>
        <v>44409</v>
      </c>
      <c r="H48" s="1319">
        <f t="shared" si="16"/>
        <v>44378</v>
      </c>
      <c r="I48" s="1319">
        <f t="shared" si="16"/>
        <v>44348</v>
      </c>
      <c r="J48" s="1319">
        <f t="shared" si="16"/>
        <v>44317</v>
      </c>
      <c r="K48" s="1319">
        <f t="shared" si="16"/>
        <v>44287</v>
      </c>
      <c r="L48" s="1319">
        <f t="shared" si="16"/>
        <v>44256</v>
      </c>
      <c r="M48" s="1319">
        <f t="shared" si="16"/>
        <v>44228</v>
      </c>
      <c r="N48" s="1319">
        <f t="shared" si="16"/>
        <v>44197</v>
      </c>
      <c r="O48" s="1319">
        <f t="shared" si="16"/>
        <v>44166</v>
      </c>
      <c r="P48" s="2958"/>
      <c r="Q48" s="2940"/>
      <c r="R48" s="2940"/>
      <c r="S48" s="2940"/>
      <c r="T48" s="2940"/>
      <c r="U48" s="2940"/>
      <c r="V48" s="2940"/>
      <c r="W48" s="2940"/>
      <c r="X48" s="2940"/>
      <c r="Y48" s="2940"/>
      <c r="Z48" s="2940"/>
      <c r="AA48" s="2940"/>
      <c r="AB48" s="2940"/>
      <c r="AC48" s="2940"/>
    </row>
    <row r="49" spans="1:29" s="113" customFormat="1" ht="15">
      <c r="A49" s="466"/>
      <c r="B49" s="467"/>
      <c r="C49" s="1311">
        <v>100</v>
      </c>
      <c r="D49" s="469"/>
      <c r="E49" s="469"/>
      <c r="F49" s="469"/>
      <c r="G49" s="469"/>
      <c r="H49" s="469"/>
      <c r="I49" s="469"/>
      <c r="J49" s="469"/>
      <c r="K49" s="469"/>
      <c r="L49" s="469"/>
      <c r="M49" s="470"/>
      <c r="N49" s="469"/>
      <c r="O49" s="470"/>
      <c r="P49" s="2959"/>
      <c r="Q49" s="2858"/>
      <c r="R49" s="2858"/>
      <c r="S49" s="2858"/>
      <c r="T49" s="2858"/>
      <c r="U49" s="2858"/>
      <c r="V49" s="2858"/>
      <c r="W49" s="2858"/>
      <c r="X49" s="2858"/>
      <c r="Y49" s="2858"/>
      <c r="Z49" s="2858"/>
      <c r="AA49" s="2858"/>
      <c r="AB49" s="2858"/>
      <c r="AC49" s="2858"/>
    </row>
    <row r="50" spans="1:29" s="113" customFormat="1" ht="15.75" thickBot="1">
      <c r="A50" s="472" t="s">
        <v>2346</v>
      </c>
      <c r="B50" s="473"/>
      <c r="C50" s="474"/>
      <c r="D50" s="475"/>
      <c r="E50" s="475"/>
      <c r="F50" s="475"/>
      <c r="G50" s="475"/>
      <c r="H50" s="475"/>
      <c r="I50" s="475"/>
      <c r="J50" s="475"/>
      <c r="K50" s="475"/>
      <c r="L50" s="475"/>
      <c r="M50" s="476"/>
      <c r="N50" s="475"/>
      <c r="O50" s="476"/>
      <c r="P50" s="2959"/>
      <c r="Q50" s="2938"/>
      <c r="R50" s="2858"/>
      <c r="S50" s="2858"/>
      <c r="T50" s="2858"/>
      <c r="U50" s="2858"/>
      <c r="V50" s="2858"/>
      <c r="W50" s="2858"/>
      <c r="X50" s="2858"/>
      <c r="Y50" s="2858"/>
      <c r="Z50" s="2858"/>
      <c r="AA50" s="2858"/>
      <c r="AB50" s="2858"/>
      <c r="AC50" s="2858"/>
    </row>
    <row r="51" spans="1:29" s="113" customFormat="1" ht="15">
      <c r="A51" s="478" t="s">
        <v>2311</v>
      </c>
      <c r="B51" s="467"/>
      <c r="C51" s="479" t="s">
        <v>2413</v>
      </c>
      <c r="D51" s="480"/>
      <c r="E51" s="480"/>
      <c r="F51" s="480"/>
      <c r="G51" s="480"/>
      <c r="H51" s="480"/>
      <c r="I51" s="480"/>
      <c r="J51" s="480"/>
      <c r="K51" s="480"/>
      <c r="L51" s="481"/>
      <c r="M51" s="482"/>
      <c r="N51" s="2951"/>
      <c r="O51" s="2951"/>
      <c r="P51" s="2960"/>
      <c r="Q51" s="2938"/>
      <c r="R51" s="2858"/>
      <c r="S51" s="2858"/>
      <c r="T51" s="2858"/>
      <c r="U51" s="2858"/>
      <c r="V51" s="2858"/>
      <c r="W51" s="2858"/>
      <c r="X51" s="2858"/>
      <c r="Y51" s="2858"/>
      <c r="Z51" s="2858"/>
      <c r="AA51" s="2858"/>
      <c r="AB51" s="2858"/>
      <c r="AC51" s="2858"/>
    </row>
    <row r="52" spans="1:29" s="113" customFormat="1" ht="15.75" thickBot="1">
      <c r="A52" s="478"/>
      <c r="B52" s="467"/>
      <c r="C52" s="595">
        <v>100</v>
      </c>
      <c r="D52" s="469"/>
      <c r="E52" s="469"/>
      <c r="F52" s="469"/>
      <c r="G52" s="469"/>
      <c r="H52" s="469"/>
      <c r="I52" s="469"/>
      <c r="J52" s="469"/>
      <c r="K52" s="469"/>
      <c r="L52" s="469"/>
      <c r="M52" s="471"/>
      <c r="N52" s="2951"/>
      <c r="O52" s="2951"/>
      <c r="P52" s="2959"/>
      <c r="Q52" s="2938"/>
      <c r="R52" s="2858"/>
      <c r="S52" s="2858"/>
      <c r="T52" s="2858"/>
      <c r="U52" s="2858"/>
      <c r="V52" s="2858"/>
      <c r="W52" s="2858"/>
      <c r="X52" s="2858"/>
      <c r="Y52" s="2858"/>
      <c r="Z52" s="2858"/>
      <c r="AA52" s="2858"/>
      <c r="AB52" s="2858"/>
      <c r="AC52" s="2858"/>
    </row>
    <row r="53" spans="1:29">
      <c r="A53" s="484" t="s">
        <v>2349</v>
      </c>
      <c r="B53" s="485" t="s">
        <v>2315</v>
      </c>
      <c r="C53" s="486">
        <f>C9</f>
        <v>0</v>
      </c>
      <c r="D53" s="487"/>
      <c r="E53" s="487"/>
      <c r="F53" s="487"/>
      <c r="G53" s="487"/>
      <c r="H53" s="487"/>
      <c r="I53" s="487"/>
      <c r="J53" s="487"/>
      <c r="K53" s="488"/>
      <c r="L53" s="489"/>
      <c r="M53" s="490"/>
      <c r="N53" s="2952"/>
      <c r="O53" s="2952"/>
      <c r="P53" s="2961"/>
      <c r="Q53" s="2938"/>
      <c r="R53" s="2924"/>
      <c r="S53" s="2924"/>
      <c r="T53" s="2924"/>
      <c r="U53" s="2924"/>
      <c r="V53" s="2924"/>
      <c r="W53" s="2924"/>
      <c r="X53" s="2924"/>
      <c r="Y53" s="2924"/>
      <c r="Z53" s="2924"/>
      <c r="AA53" s="2924"/>
      <c r="AB53" s="2924"/>
      <c r="AC53" s="2924"/>
    </row>
    <row r="54" spans="1:29" ht="15.75" thickBot="1">
      <c r="A54" s="491"/>
      <c r="B54" s="492"/>
      <c r="C54" s="493">
        <v>100</v>
      </c>
      <c r="D54" s="493"/>
      <c r="E54" s="493"/>
      <c r="F54" s="493"/>
      <c r="G54" s="493"/>
      <c r="H54" s="493"/>
      <c r="I54" s="493"/>
      <c r="J54" s="493"/>
      <c r="K54" s="493"/>
      <c r="L54" s="493"/>
      <c r="M54" s="494"/>
      <c r="N54" s="2953"/>
      <c r="O54" s="2953"/>
      <c r="P54" s="2961"/>
      <c r="Q54" s="2938"/>
      <c r="R54" s="2924"/>
      <c r="S54" s="2924"/>
      <c r="T54" s="2924"/>
      <c r="U54" s="2924"/>
      <c r="V54" s="2924"/>
      <c r="W54" s="2924"/>
      <c r="X54" s="2924"/>
      <c r="Y54" s="2924"/>
      <c r="Z54" s="2924"/>
      <c r="AA54" s="2924"/>
      <c r="AB54" s="2924"/>
      <c r="AC54" s="2924"/>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2"/>
      <c r="O55" s="2952"/>
      <c r="P55" s="2961"/>
      <c r="Q55" s="2938"/>
      <c r="R55" s="2924"/>
      <c r="S55" s="2924"/>
      <c r="T55" s="2924"/>
      <c r="U55" s="2924"/>
      <c r="V55" s="2924"/>
      <c r="W55" s="2924"/>
      <c r="X55" s="2924"/>
      <c r="Y55" s="2924"/>
      <c r="Z55" s="2924"/>
      <c r="AA55" s="2924"/>
      <c r="AB55" s="2924"/>
      <c r="AC55" s="292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3"/>
      <c r="O56" s="2953"/>
      <c r="P56" s="2961"/>
      <c r="Q56" s="2938"/>
      <c r="R56" s="2924"/>
      <c r="S56" s="2924"/>
      <c r="T56" s="2924"/>
      <c r="U56" s="2924"/>
      <c r="V56" s="2924"/>
      <c r="W56" s="2924"/>
      <c r="X56" s="2924"/>
      <c r="Y56" s="2924"/>
      <c r="Z56" s="2924"/>
      <c r="AA56" s="2924"/>
      <c r="AB56" s="2924"/>
      <c r="AC56" s="2924"/>
    </row>
    <row r="57" spans="1:29" ht="15.75" thickTop="1">
      <c r="A57" s="491"/>
      <c r="B57" s="616">
        <f>B11</f>
        <v>111</v>
      </c>
      <c r="C57" s="506"/>
      <c r="D57" s="506"/>
      <c r="E57" s="506"/>
      <c r="F57" s="506"/>
      <c r="G57" s="506"/>
      <c r="H57" s="506"/>
      <c r="I57" s="506"/>
      <c r="J57" s="506"/>
      <c r="K57" s="507"/>
      <c r="L57" s="508"/>
      <c r="M57" s="509"/>
      <c r="N57" s="2952"/>
      <c r="O57" s="2952"/>
      <c r="P57" s="2961"/>
      <c r="Q57" s="2938"/>
      <c r="R57" s="2924"/>
      <c r="S57" s="2924"/>
      <c r="T57" s="2924"/>
      <c r="U57" s="2924"/>
      <c r="V57" s="2924"/>
      <c r="W57" s="2924"/>
      <c r="X57" s="2924"/>
      <c r="Y57" s="2924"/>
      <c r="Z57" s="2924"/>
      <c r="AA57" s="2924"/>
      <c r="AB57" s="2924"/>
      <c r="AC57" s="2924"/>
    </row>
    <row r="58" spans="1:29" ht="15.75" thickBot="1">
      <c r="A58" s="491"/>
      <c r="B58" s="492"/>
      <c r="C58" s="517"/>
      <c r="D58" s="493"/>
      <c r="E58" s="493"/>
      <c r="F58" s="493"/>
      <c r="G58" s="493"/>
      <c r="H58" s="493"/>
      <c r="I58" s="493"/>
      <c r="J58" s="493"/>
      <c r="K58" s="493"/>
      <c r="L58" s="493"/>
      <c r="M58" s="494"/>
      <c r="N58" s="2953"/>
      <c r="O58" s="2953"/>
      <c r="P58" s="2961"/>
      <c r="Q58" s="2938"/>
      <c r="R58" s="2924"/>
      <c r="S58" s="2924"/>
      <c r="T58" s="2924"/>
      <c r="U58" s="2924"/>
      <c r="V58" s="2924"/>
      <c r="W58" s="2924"/>
      <c r="X58" s="2924"/>
      <c r="Y58" s="2924"/>
      <c r="Z58" s="2924"/>
      <c r="AA58" s="2924"/>
      <c r="AB58" s="2924"/>
      <c r="AC58" s="2924"/>
    </row>
    <row r="59" spans="1:29" s="430" customFormat="1" ht="15.75" thickTop="1">
      <c r="A59" s="510"/>
      <c r="B59" s="495">
        <f>B12</f>
        <v>111</v>
      </c>
      <c r="C59" s="506"/>
      <c r="D59" s="506"/>
      <c r="E59" s="506"/>
      <c r="F59" s="506"/>
      <c r="G59" s="511"/>
      <c r="H59" s="512"/>
      <c r="I59" s="512"/>
      <c r="J59" s="512"/>
      <c r="K59" s="512"/>
      <c r="L59" s="513"/>
      <c r="M59" s="514"/>
      <c r="N59" s="2954"/>
      <c r="O59" s="2954"/>
      <c r="P59" s="2962"/>
      <c r="Q59" s="2945"/>
      <c r="R59" s="2946"/>
      <c r="S59" s="2946"/>
      <c r="T59" s="2946"/>
      <c r="U59" s="2946"/>
      <c r="V59" s="2946"/>
      <c r="W59" s="2946"/>
      <c r="X59" s="2946"/>
      <c r="Y59" s="2946"/>
      <c r="Z59" s="2946"/>
      <c r="AA59" s="2946"/>
      <c r="AB59" s="2946"/>
      <c r="AC59" s="2946"/>
    </row>
    <row r="60" spans="1:29" s="430" customFormat="1" ht="15.75" thickBot="1">
      <c r="A60" s="510"/>
      <c r="B60" s="500"/>
      <c r="C60" s="517"/>
      <c r="D60" s="493"/>
      <c r="E60" s="493"/>
      <c r="F60" s="493"/>
      <c r="G60" s="493"/>
      <c r="H60" s="493"/>
      <c r="I60" s="493"/>
      <c r="J60" s="493"/>
      <c r="K60" s="493"/>
      <c r="L60" s="493"/>
      <c r="M60" s="494"/>
      <c r="N60" s="2953"/>
      <c r="O60" s="2953"/>
      <c r="P60" s="2962"/>
      <c r="Q60" s="2945"/>
      <c r="R60" s="2946"/>
      <c r="S60" s="2946"/>
      <c r="T60" s="2946"/>
      <c r="U60" s="2946"/>
      <c r="V60" s="2946"/>
      <c r="W60" s="2946"/>
      <c r="X60" s="2946"/>
      <c r="Y60" s="2946"/>
      <c r="Z60" s="2946"/>
      <c r="AA60" s="2946"/>
      <c r="AB60" s="2946"/>
      <c r="AC60" s="2946"/>
    </row>
    <row r="61" spans="1:29" s="430" customFormat="1" ht="15.75" thickTop="1">
      <c r="A61" s="510"/>
      <c r="B61" s="495">
        <f>B13</f>
        <v>111</v>
      </c>
      <c r="C61" s="511"/>
      <c r="D61" s="511"/>
      <c r="E61" s="511"/>
      <c r="F61" s="511"/>
      <c r="G61" s="511"/>
      <c r="H61" s="512"/>
      <c r="I61" s="512"/>
      <c r="J61" s="512"/>
      <c r="K61" s="512"/>
      <c r="L61" s="513"/>
      <c r="M61" s="514"/>
      <c r="N61" s="2954"/>
      <c r="O61" s="2954"/>
      <c r="P61" s="2963"/>
      <c r="Q61" s="2948"/>
      <c r="R61" s="2946"/>
      <c r="S61" s="2946"/>
      <c r="T61" s="2946"/>
      <c r="U61" s="2946"/>
      <c r="V61" s="2946"/>
      <c r="W61" s="2946"/>
      <c r="X61" s="2946"/>
      <c r="Y61" s="2946"/>
      <c r="Z61" s="2946"/>
      <c r="AA61" s="2946"/>
      <c r="AB61" s="2946"/>
      <c r="AC61" s="2946"/>
    </row>
    <row r="62" spans="1:29" s="430" customFormat="1" ht="15.75" thickBot="1">
      <c r="A62" s="510"/>
      <c r="B62" s="500"/>
      <c r="C62" s="517"/>
      <c r="D62" s="517"/>
      <c r="E62" s="517"/>
      <c r="F62" s="517"/>
      <c r="G62" s="517"/>
      <c r="H62" s="519"/>
      <c r="I62" s="519"/>
      <c r="J62" s="519"/>
      <c r="K62" s="519"/>
      <c r="L62" s="519"/>
      <c r="M62" s="520"/>
      <c r="N62" s="2954"/>
      <c r="O62" s="2954"/>
      <c r="P62" s="2962"/>
      <c r="Q62" s="2945"/>
      <c r="R62" s="2946"/>
      <c r="S62" s="2946"/>
      <c r="T62" s="2946"/>
      <c r="U62" s="2946"/>
      <c r="V62" s="2946"/>
      <c r="W62" s="2946"/>
      <c r="X62" s="2946"/>
      <c r="Y62" s="2946"/>
      <c r="Z62" s="2946"/>
      <c r="AA62" s="2946"/>
      <c r="AB62" s="2946"/>
      <c r="AC62" s="2946"/>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2"/>
      <c r="O63" s="2952"/>
      <c r="P63" s="2965"/>
      <c r="Q63" s="2938"/>
      <c r="R63" s="2924"/>
      <c r="S63" s="2924"/>
      <c r="T63" s="2924"/>
      <c r="U63" s="2924"/>
      <c r="V63" s="2924"/>
      <c r="W63" s="2924"/>
      <c r="X63" s="2924"/>
      <c r="Y63" s="2924"/>
      <c r="Z63" s="2924"/>
      <c r="AA63" s="2924"/>
      <c r="AB63" s="2924"/>
      <c r="AC63" s="292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3"/>
      <c r="O64" s="2953"/>
      <c r="P64" s="2961"/>
      <c r="Q64" s="2938"/>
      <c r="R64" s="2924"/>
      <c r="S64" s="2924"/>
      <c r="T64" s="2924"/>
      <c r="U64" s="2924"/>
      <c r="V64" s="2924"/>
      <c r="W64" s="2924"/>
      <c r="X64" s="2924"/>
      <c r="Y64" s="2924"/>
      <c r="Z64" s="2924"/>
      <c r="AA64" s="2924"/>
      <c r="AB64" s="2924"/>
      <c r="AC64" s="2924"/>
    </row>
    <row r="65" spans="1:29" ht="15.75" thickTop="1">
      <c r="A65" s="491"/>
      <c r="B65" s="495" t="s">
        <v>2364</v>
      </c>
      <c r="C65" s="535" t="s">
        <v>2358</v>
      </c>
      <c r="D65" s="535" t="s">
        <v>2359</v>
      </c>
      <c r="E65" s="535" t="s">
        <v>2360</v>
      </c>
      <c r="F65" s="535" t="s">
        <v>2361</v>
      </c>
      <c r="G65" s="535" t="s">
        <v>2362</v>
      </c>
      <c r="H65" s="496"/>
      <c r="I65" s="496"/>
      <c r="J65" s="496"/>
      <c r="K65" s="497"/>
      <c r="L65" s="498"/>
      <c r="M65" s="499"/>
      <c r="N65" s="2952"/>
      <c r="O65" s="2952"/>
      <c r="P65" s="2961"/>
      <c r="Q65" s="2938"/>
      <c r="R65" s="2924"/>
      <c r="S65" s="2924"/>
      <c r="T65" s="2924"/>
      <c r="U65" s="2924"/>
      <c r="V65" s="2924"/>
      <c r="W65" s="2924"/>
      <c r="X65" s="2924"/>
      <c r="Y65" s="2924"/>
      <c r="Z65" s="2924"/>
      <c r="AA65" s="2924"/>
      <c r="AB65" s="2924"/>
      <c r="AC65" s="292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3"/>
      <c r="O66" s="2953"/>
      <c r="P66" s="2961"/>
      <c r="Q66" s="2938"/>
      <c r="R66" s="2924"/>
      <c r="S66" s="2924"/>
      <c r="T66" s="2924"/>
      <c r="U66" s="2924"/>
      <c r="V66" s="2924"/>
      <c r="W66" s="2924"/>
      <c r="X66" s="2924"/>
      <c r="Y66" s="2924"/>
      <c r="Z66" s="2924"/>
      <c r="AA66" s="2924"/>
      <c r="AB66" s="2924"/>
      <c r="AC66" s="2924"/>
    </row>
    <row r="67" spans="1:29" ht="15.75" thickTop="1">
      <c r="A67" s="491"/>
      <c r="B67" s="503" t="s">
        <v>2450</v>
      </c>
      <c r="C67" s="616" t="s">
        <v>2436</v>
      </c>
      <c r="D67" s="616" t="s">
        <v>2437</v>
      </c>
      <c r="E67" s="616" t="s">
        <v>2438</v>
      </c>
      <c r="F67" s="616" t="s">
        <v>2439</v>
      </c>
      <c r="G67" s="616" t="s">
        <v>2440</v>
      </c>
      <c r="H67" s="496"/>
      <c r="I67" s="496"/>
      <c r="J67" s="496"/>
      <c r="K67" s="496"/>
      <c r="L67" s="496"/>
      <c r="M67" s="1263"/>
      <c r="N67" s="2953"/>
      <c r="O67" s="2953"/>
      <c r="P67" s="2961"/>
      <c r="Q67" s="2938"/>
      <c r="R67" s="2924"/>
      <c r="S67" s="2924"/>
      <c r="T67" s="2924"/>
      <c r="U67" s="2924"/>
      <c r="V67" s="2924"/>
      <c r="W67" s="2924"/>
      <c r="X67" s="2924"/>
      <c r="Y67" s="2924"/>
      <c r="Z67" s="2924"/>
      <c r="AA67" s="2924"/>
      <c r="AB67" s="2924"/>
      <c r="AC67" s="292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3"/>
      <c r="O68" s="2953"/>
      <c r="P68" s="2961"/>
      <c r="Q68" s="2938"/>
      <c r="R68" s="2924"/>
      <c r="S68" s="2924"/>
      <c r="T68" s="2924"/>
      <c r="U68" s="2924"/>
      <c r="V68" s="2924"/>
      <c r="W68" s="2924"/>
      <c r="X68" s="2924"/>
      <c r="Y68" s="2924"/>
      <c r="Z68" s="2924"/>
      <c r="AA68" s="2924"/>
      <c r="AB68" s="2924"/>
      <c r="AC68" s="2924"/>
    </row>
    <row r="69" spans="1:29" ht="15.75" thickTop="1">
      <c r="A69" s="491"/>
      <c r="B69" s="495" t="s">
        <v>2370</v>
      </c>
      <c r="C69" s="535" t="s">
        <v>2358</v>
      </c>
      <c r="D69" s="535" t="s">
        <v>2359</v>
      </c>
      <c r="E69" s="535" t="s">
        <v>2360</v>
      </c>
      <c r="F69" s="535" t="s">
        <v>2361</v>
      </c>
      <c r="G69" s="535" t="s">
        <v>2362</v>
      </c>
      <c r="H69" s="496"/>
      <c r="I69" s="496"/>
      <c r="J69" s="496"/>
      <c r="K69" s="497"/>
      <c r="L69" s="498"/>
      <c r="M69" s="499"/>
      <c r="N69" s="2952"/>
      <c r="O69" s="2952"/>
      <c r="P69" s="2961"/>
      <c r="Q69" s="2938"/>
      <c r="R69" s="2924"/>
      <c r="S69" s="2924"/>
      <c r="T69" s="2924"/>
      <c r="U69" s="2924"/>
      <c r="V69" s="2924"/>
      <c r="W69" s="2924"/>
      <c r="X69" s="2924"/>
      <c r="Y69" s="2924"/>
      <c r="Z69" s="2924"/>
      <c r="AA69" s="2924"/>
      <c r="AB69" s="2924"/>
      <c r="AC69" s="292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3"/>
      <c r="O70" s="2953"/>
      <c r="P70" s="2961"/>
      <c r="Q70" s="2938"/>
      <c r="R70" s="2924"/>
      <c r="S70" s="2924"/>
      <c r="T70" s="2924"/>
      <c r="U70" s="2924"/>
      <c r="V70" s="2924"/>
      <c r="W70" s="2924"/>
      <c r="X70" s="2924"/>
      <c r="Y70" s="2924"/>
      <c r="Z70" s="2924"/>
      <c r="AA70" s="2924"/>
      <c r="AB70" s="2924"/>
      <c r="AC70" s="2924"/>
    </row>
    <row r="71" spans="1:29" ht="15.75" thickTop="1">
      <c r="A71" s="491"/>
      <c r="B71" s="495" t="s">
        <v>2490</v>
      </c>
      <c r="C71" s="511"/>
      <c r="D71" s="511"/>
      <c r="E71" s="511"/>
      <c r="F71" s="511"/>
      <c r="G71" s="511"/>
      <c r="H71" s="540"/>
      <c r="I71" s="540"/>
      <c r="J71" s="540"/>
      <c r="K71" s="541"/>
      <c r="L71" s="542"/>
      <c r="M71" s="543"/>
      <c r="N71" s="2952"/>
      <c r="O71" s="2952"/>
      <c r="P71" s="2961"/>
      <c r="Q71" s="2938"/>
      <c r="R71" s="2924"/>
      <c r="S71" s="2924"/>
      <c r="T71" s="2924"/>
      <c r="U71" s="2924"/>
      <c r="V71" s="2924"/>
      <c r="W71" s="2924"/>
      <c r="X71" s="2924"/>
      <c r="Y71" s="2924"/>
      <c r="Z71" s="2924"/>
      <c r="AA71" s="2924"/>
      <c r="AB71" s="2924"/>
      <c r="AC71" s="292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3"/>
      <c r="O72" s="2953"/>
      <c r="P72" s="2961"/>
      <c r="Q72" s="2938"/>
      <c r="R72" s="2924"/>
      <c r="S72" s="2924"/>
      <c r="T72" s="2924"/>
      <c r="U72" s="2924"/>
      <c r="V72" s="2924"/>
      <c r="W72" s="2924"/>
      <c r="X72" s="2924"/>
      <c r="Y72" s="2924"/>
      <c r="Z72" s="2924"/>
      <c r="AA72" s="2924"/>
      <c r="AB72" s="2924"/>
      <c r="AC72" s="2924"/>
    </row>
    <row r="73" spans="1:29" s="113" customFormat="1" ht="15.75" thickTop="1">
      <c r="A73" s="536"/>
      <c r="B73" s="495">
        <f>B23</f>
        <v>111</v>
      </c>
      <c r="C73" s="506"/>
      <c r="D73" s="506"/>
      <c r="E73" s="506"/>
      <c r="F73" s="506"/>
      <c r="G73" s="511"/>
      <c r="H73" s="511"/>
      <c r="I73" s="511"/>
      <c r="J73" s="511"/>
      <c r="K73" s="511"/>
      <c r="L73" s="537"/>
      <c r="M73" s="538"/>
      <c r="N73" s="2951"/>
      <c r="O73" s="2951"/>
      <c r="P73" s="2961"/>
      <c r="Q73" s="2938"/>
      <c r="R73" s="2858"/>
      <c r="S73" s="2858"/>
      <c r="T73" s="2858"/>
      <c r="U73" s="2858"/>
      <c r="V73" s="2858"/>
      <c r="W73" s="2858"/>
      <c r="X73" s="2858"/>
      <c r="Y73" s="2858"/>
      <c r="Z73" s="2858"/>
      <c r="AA73" s="2858"/>
      <c r="AB73" s="2858"/>
      <c r="AC73" s="2858"/>
    </row>
    <row r="74" spans="1:29" s="113" customFormat="1" ht="15.75" thickBot="1">
      <c r="A74" s="536"/>
      <c r="B74" s="500"/>
      <c r="C74" s="517"/>
      <c r="D74" s="493"/>
      <c r="E74" s="493"/>
      <c r="F74" s="493"/>
      <c r="G74" s="493"/>
      <c r="H74" s="493"/>
      <c r="I74" s="493"/>
      <c r="J74" s="493"/>
      <c r="K74" s="493"/>
      <c r="L74" s="493"/>
      <c r="M74" s="494"/>
      <c r="N74" s="2953"/>
      <c r="O74" s="2953"/>
      <c r="P74" s="2961"/>
      <c r="Q74" s="2938"/>
      <c r="R74" s="2858"/>
      <c r="S74" s="2858"/>
      <c r="T74" s="2858"/>
      <c r="U74" s="2858"/>
      <c r="V74" s="2858"/>
      <c r="W74" s="2858"/>
      <c r="X74" s="2858"/>
      <c r="Y74" s="2858"/>
      <c r="Z74" s="2858"/>
      <c r="AA74" s="2858"/>
      <c r="AB74" s="2858"/>
      <c r="AC74" s="2858"/>
    </row>
    <row r="75" spans="1:29" s="113" customFormat="1" ht="15.75" thickTop="1">
      <c r="A75" s="536"/>
      <c r="B75" s="495">
        <f>B24</f>
        <v>111</v>
      </c>
      <c r="C75" s="506"/>
      <c r="D75" s="506"/>
      <c r="E75" s="506"/>
      <c r="F75" s="506"/>
      <c r="G75" s="511"/>
      <c r="H75" s="511"/>
      <c r="I75" s="511"/>
      <c r="J75" s="511"/>
      <c r="K75" s="511"/>
      <c r="L75" s="511"/>
      <c r="M75" s="538"/>
      <c r="N75" s="2951"/>
      <c r="O75" s="2951"/>
      <c r="P75" s="2961"/>
      <c r="Q75" s="2938"/>
      <c r="R75" s="2858"/>
      <c r="S75" s="2858"/>
      <c r="T75" s="2858"/>
      <c r="U75" s="2858"/>
      <c r="V75" s="2858"/>
      <c r="W75" s="2858"/>
      <c r="X75" s="2858"/>
      <c r="Y75" s="2858"/>
      <c r="Z75" s="2858"/>
      <c r="AA75" s="2858"/>
      <c r="AB75" s="2858"/>
      <c r="AC75" s="2858"/>
    </row>
    <row r="76" spans="1:29" s="113" customFormat="1" ht="15.75" thickBot="1">
      <c r="A76" s="536"/>
      <c r="B76" s="500"/>
      <c r="C76" s="517"/>
      <c r="D76" s="493"/>
      <c r="E76" s="493"/>
      <c r="F76" s="493"/>
      <c r="G76" s="493"/>
      <c r="H76" s="493"/>
      <c r="I76" s="493"/>
      <c r="J76" s="493"/>
      <c r="K76" s="493"/>
      <c r="L76" s="493"/>
      <c r="M76" s="494"/>
      <c r="N76" s="2953"/>
      <c r="O76" s="2953"/>
      <c r="P76" s="2961"/>
      <c r="Q76" s="2938"/>
      <c r="R76" s="2858"/>
      <c r="S76" s="2858"/>
      <c r="T76" s="2858"/>
      <c r="U76" s="2858"/>
      <c r="V76" s="2858"/>
      <c r="W76" s="2858"/>
      <c r="X76" s="2858"/>
      <c r="Y76" s="2858"/>
      <c r="Z76" s="2858"/>
      <c r="AA76" s="2858"/>
      <c r="AB76" s="2858"/>
      <c r="AC76" s="2858"/>
    </row>
    <row r="77" spans="1:29" s="430" customFormat="1" ht="15.75" thickTop="1">
      <c r="A77" s="510"/>
      <c r="B77" s="495">
        <f>B25</f>
        <v>111</v>
      </c>
      <c r="C77" s="511"/>
      <c r="D77" s="511"/>
      <c r="E77" s="511"/>
      <c r="F77" s="511"/>
      <c r="G77" s="511"/>
      <c r="H77" s="512"/>
      <c r="I77" s="512"/>
      <c r="J77" s="512"/>
      <c r="K77" s="512"/>
      <c r="L77" s="513"/>
      <c r="M77" s="514"/>
      <c r="N77" s="2954"/>
      <c r="O77" s="2954"/>
      <c r="P77" s="2962"/>
      <c r="Q77" s="2945"/>
      <c r="R77" s="2946"/>
      <c r="S77" s="2946"/>
      <c r="T77" s="2946"/>
      <c r="U77" s="2946"/>
      <c r="V77" s="2946"/>
      <c r="W77" s="2946"/>
      <c r="X77" s="2946"/>
      <c r="Y77" s="2946"/>
      <c r="Z77" s="2946"/>
      <c r="AA77" s="2946"/>
      <c r="AB77" s="2946"/>
      <c r="AC77" s="2946"/>
    </row>
    <row r="78" spans="1:29" s="430" customFormat="1" ht="15.75" thickBot="1">
      <c r="A78" s="510"/>
      <c r="B78" s="500"/>
      <c r="C78" s="517"/>
      <c r="D78" s="517"/>
      <c r="E78" s="517"/>
      <c r="F78" s="517"/>
      <c r="G78" s="493"/>
      <c r="H78" s="493"/>
      <c r="I78" s="493"/>
      <c r="J78" s="493"/>
      <c r="K78" s="493"/>
      <c r="L78" s="493"/>
      <c r="M78" s="494"/>
      <c r="N78" s="2954"/>
      <c r="O78" s="2954"/>
      <c r="P78" s="2962"/>
      <c r="Q78" s="2945"/>
      <c r="R78" s="2946"/>
      <c r="S78" s="2946"/>
      <c r="T78" s="2946"/>
      <c r="U78" s="2946"/>
      <c r="V78" s="2946"/>
      <c r="W78" s="2946"/>
      <c r="X78" s="2946"/>
      <c r="Y78" s="2946"/>
      <c r="Z78" s="2946"/>
      <c r="AA78" s="2946"/>
      <c r="AB78" s="2946"/>
      <c r="AC78" s="2946"/>
    </row>
    <row r="79" spans="1:29" ht="27.75" thickTop="1">
      <c r="A79" s="484" t="s">
        <v>2324</v>
      </c>
      <c r="B79" s="485" t="s">
        <v>2491</v>
      </c>
      <c r="C79" s="486">
        <f>C26</f>
        <v>0</v>
      </c>
      <c r="D79" s="487"/>
      <c r="E79" s="487"/>
      <c r="F79" s="487"/>
      <c r="G79" s="487"/>
      <c r="H79" s="487"/>
      <c r="I79" s="487"/>
      <c r="J79" s="487"/>
      <c r="K79" s="488"/>
      <c r="L79" s="489"/>
      <c r="M79" s="490"/>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3"/>
      <c r="O80" s="2953"/>
      <c r="P80" s="2961"/>
      <c r="Q80" s="2938"/>
      <c r="R80" s="2924"/>
      <c r="S80" s="2924"/>
      <c r="T80" s="2924"/>
      <c r="U80" s="2924"/>
      <c r="V80" s="2924"/>
      <c r="W80" s="2924"/>
      <c r="X80" s="2924"/>
      <c r="Y80" s="2924"/>
      <c r="Z80" s="2924"/>
      <c r="AA80" s="2924"/>
      <c r="AB80" s="2924"/>
      <c r="AC80" s="2924"/>
    </row>
    <row r="81" spans="1:29" ht="15.75" thickTop="1">
      <c r="A81" s="491"/>
      <c r="B81" s="495" t="s">
        <v>2492</v>
      </c>
      <c r="C81" s="617"/>
      <c r="D81" s="617"/>
      <c r="E81" s="617"/>
      <c r="F81" s="617"/>
      <c r="G81" s="617"/>
      <c r="H81" s="617"/>
      <c r="I81" s="617"/>
      <c r="J81" s="617"/>
      <c r="K81" s="618"/>
      <c r="L81" s="619"/>
      <c r="M81" s="620"/>
      <c r="N81" s="2951"/>
      <c r="O81" s="2951"/>
      <c r="P81" s="2961"/>
      <c r="Q81" s="2938"/>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53"/>
      <c r="O82" s="2953"/>
      <c r="P82" s="2962"/>
      <c r="Q82" s="2945"/>
      <c r="R82" s="2946"/>
      <c r="S82" s="2946"/>
      <c r="T82" s="2946"/>
      <c r="U82" s="2946"/>
      <c r="V82" s="2946"/>
      <c r="W82" s="2946"/>
      <c r="X82" s="2946"/>
      <c r="Y82" s="2946"/>
      <c r="Z82" s="2946"/>
      <c r="AA82" s="2946"/>
      <c r="AB82" s="2946"/>
      <c r="AC82" s="2946"/>
    </row>
    <row r="83" spans="1:29" ht="15" thickTop="1">
      <c r="A83" s="556"/>
      <c r="B83" s="495" t="s">
        <v>2377</v>
      </c>
      <c r="C83" s="511"/>
      <c r="D83" s="511"/>
      <c r="E83" s="540"/>
      <c r="F83" s="540"/>
      <c r="G83" s="540"/>
      <c r="H83" s="540"/>
      <c r="I83" s="540"/>
      <c r="J83" s="540"/>
      <c r="K83" s="541"/>
      <c r="L83" s="542"/>
      <c r="M83" s="543"/>
      <c r="N83" s="2952"/>
      <c r="O83" s="2952"/>
      <c r="P83" s="2961"/>
      <c r="Q83" s="2938"/>
      <c r="R83" s="2924"/>
      <c r="S83" s="2924"/>
      <c r="T83" s="2924"/>
      <c r="U83" s="2924"/>
      <c r="V83" s="2924"/>
      <c r="W83" s="2924"/>
      <c r="X83" s="2924"/>
      <c r="Y83" s="2924"/>
      <c r="Z83" s="2924"/>
      <c r="AA83" s="2924"/>
      <c r="AB83" s="2924"/>
      <c r="AC83" s="292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3"/>
      <c r="O84" s="2953"/>
      <c r="P84" s="2961"/>
      <c r="Q84" s="2938"/>
      <c r="R84" s="2924"/>
      <c r="S84" s="2924"/>
      <c r="T84" s="2924"/>
      <c r="U84" s="2924"/>
      <c r="V84" s="2924"/>
      <c r="W84" s="2924"/>
      <c r="X84" s="2924"/>
      <c r="Y84" s="2924"/>
      <c r="Z84" s="2924"/>
      <c r="AA84" s="2924"/>
      <c r="AB84" s="2924"/>
      <c r="AC84" s="2924"/>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2"/>
      <c r="O85" s="2952"/>
      <c r="P85" s="2961"/>
      <c r="Q85" s="2938"/>
      <c r="R85" s="2924"/>
      <c r="S85" s="2924"/>
      <c r="T85" s="2924"/>
      <c r="U85" s="2924"/>
      <c r="V85" s="2924"/>
      <c r="W85" s="2924"/>
      <c r="X85" s="2924"/>
      <c r="Y85" s="2924"/>
      <c r="Z85" s="2924"/>
      <c r="AA85" s="2924"/>
      <c r="AB85" s="2924"/>
      <c r="AC85" s="2924"/>
    </row>
    <row r="86" spans="1:29">
      <c r="A86" s="556"/>
      <c r="B86" s="503"/>
      <c r="C86" s="560">
        <v>0.5</v>
      </c>
      <c r="D86" s="560">
        <v>0.6</v>
      </c>
      <c r="E86" s="560">
        <v>0.7</v>
      </c>
      <c r="F86" s="560">
        <v>0.8</v>
      </c>
      <c r="G86" s="560">
        <v>0.9</v>
      </c>
      <c r="H86" s="560">
        <v>1.0001</v>
      </c>
      <c r="I86" s="579"/>
      <c r="J86" s="579"/>
      <c r="K86" s="580"/>
      <c r="L86" s="581"/>
      <c r="M86" s="582"/>
      <c r="N86" s="2952"/>
      <c r="O86" s="2952"/>
      <c r="P86" s="2961"/>
      <c r="Q86" s="2938"/>
      <c r="R86" s="2924"/>
      <c r="S86" s="2924"/>
      <c r="T86" s="2924"/>
      <c r="U86" s="2924"/>
      <c r="V86" s="2924"/>
      <c r="W86" s="2924"/>
      <c r="X86" s="2924"/>
      <c r="Y86" s="2924"/>
      <c r="Z86" s="2924"/>
      <c r="AA86" s="2924"/>
      <c r="AB86" s="2924"/>
      <c r="AC86" s="292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3"/>
      <c r="O87" s="2953"/>
      <c r="P87" s="2961"/>
      <c r="Q87" s="2938"/>
      <c r="R87" s="2924"/>
      <c r="S87" s="2924"/>
      <c r="T87" s="2924"/>
      <c r="U87" s="2924"/>
      <c r="V87" s="2924"/>
      <c r="W87" s="2924"/>
      <c r="X87" s="2924"/>
      <c r="Y87" s="2924"/>
      <c r="Z87" s="2924"/>
      <c r="AA87" s="2924"/>
      <c r="AB87" s="2924"/>
      <c r="AC87" s="2924"/>
    </row>
    <row r="88" spans="1:29" ht="15" thickTop="1">
      <c r="A88" s="556"/>
      <c r="B88" s="503" t="s">
        <v>2494</v>
      </c>
      <c r="C88" s="487"/>
      <c r="D88" s="487"/>
      <c r="E88" s="487"/>
      <c r="F88" s="487"/>
      <c r="G88" s="487"/>
      <c r="H88" s="487"/>
      <c r="I88" s="487"/>
      <c r="J88" s="487"/>
      <c r="K88" s="488"/>
      <c r="L88" s="489"/>
      <c r="M88" s="490"/>
      <c r="N88" s="2952"/>
      <c r="O88" s="2952"/>
      <c r="P88" s="2961"/>
      <c r="Q88" s="2938"/>
      <c r="R88" s="2924"/>
      <c r="S88" s="2924"/>
      <c r="T88" s="2924"/>
      <c r="U88" s="2924"/>
      <c r="V88" s="2924"/>
      <c r="W88" s="2924"/>
      <c r="X88" s="2924"/>
      <c r="Y88" s="2924"/>
      <c r="Z88" s="2924"/>
      <c r="AA88" s="2924"/>
      <c r="AB88" s="2924"/>
      <c r="AC88" s="292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3"/>
      <c r="O89" s="2953"/>
      <c r="P89" s="2961"/>
      <c r="Q89" s="2938"/>
      <c r="R89" s="2924"/>
      <c r="S89" s="2924"/>
      <c r="T89" s="2924"/>
      <c r="U89" s="2924"/>
      <c r="V89" s="2924"/>
      <c r="W89" s="2924"/>
      <c r="X89" s="2924"/>
      <c r="Y89" s="2924"/>
      <c r="Z89" s="2924"/>
      <c r="AA89" s="2924"/>
      <c r="AB89" s="2924"/>
      <c r="AC89" s="2924"/>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4"/>
      <c r="O90" s="2954"/>
      <c r="P90" s="2962"/>
      <c r="Q90" s="2945"/>
      <c r="R90" s="2946"/>
      <c r="S90" s="2946"/>
      <c r="T90" s="2946"/>
      <c r="U90" s="2946"/>
      <c r="V90" s="2946"/>
      <c r="W90" s="2946"/>
      <c r="X90" s="2946"/>
      <c r="Y90" s="2946"/>
      <c r="Z90" s="2946"/>
      <c r="AA90" s="2946"/>
      <c r="AB90" s="2946"/>
      <c r="AC90" s="2946"/>
    </row>
    <row r="91" spans="1:29" s="430" customFormat="1">
      <c r="A91" s="550"/>
      <c r="B91" s="503"/>
      <c r="C91" s="552"/>
      <c r="D91" s="552"/>
      <c r="E91" s="552"/>
      <c r="F91" s="552"/>
      <c r="G91" s="552"/>
      <c r="H91" s="552"/>
      <c r="I91" s="552"/>
      <c r="J91" s="553"/>
      <c r="K91" s="553"/>
      <c r="L91" s="554"/>
      <c r="M91" s="555"/>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17"/>
      <c r="D92" s="493"/>
      <c r="E92" s="493"/>
      <c r="F92" s="493"/>
      <c r="G92" s="493"/>
      <c r="H92" s="493"/>
      <c r="I92" s="493"/>
      <c r="J92" s="493"/>
      <c r="K92" s="493"/>
      <c r="L92" s="493"/>
      <c r="M92" s="494"/>
      <c r="N92" s="2954"/>
      <c r="O92" s="2954"/>
      <c r="P92" s="2962"/>
      <c r="Q92" s="2945"/>
      <c r="R92" s="2946"/>
      <c r="S92" s="2946"/>
      <c r="T92" s="2946"/>
      <c r="U92" s="2946"/>
      <c r="V92" s="2946"/>
      <c r="W92" s="2946"/>
      <c r="X92" s="2946"/>
      <c r="Y92" s="2946"/>
      <c r="Z92" s="2946"/>
      <c r="AA92" s="2946"/>
      <c r="AB92" s="2946"/>
      <c r="AC92" s="2946"/>
    </row>
    <row r="93" spans="1:29" ht="15" thickTop="1">
      <c r="A93" s="556"/>
      <c r="B93" s="495" t="s">
        <v>2496</v>
      </c>
      <c r="C93" s="511"/>
      <c r="D93" s="511"/>
      <c r="E93" s="540"/>
      <c r="F93" s="540"/>
      <c r="G93" s="540"/>
      <c r="H93" s="540"/>
      <c r="I93" s="540"/>
      <c r="J93" s="540"/>
      <c r="K93" s="541"/>
      <c r="L93" s="542"/>
      <c r="M93" s="543"/>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3"/>
      <c r="O94" s="2953"/>
      <c r="P94" s="2961"/>
      <c r="Q94" s="2938"/>
      <c r="R94" s="2924"/>
      <c r="S94" s="2924"/>
      <c r="T94" s="2924"/>
      <c r="U94" s="2924"/>
      <c r="V94" s="2924"/>
      <c r="W94" s="2924"/>
      <c r="X94" s="2924"/>
      <c r="Y94" s="2924"/>
      <c r="Z94" s="2924"/>
      <c r="AA94" s="2924"/>
      <c r="AB94" s="2924"/>
      <c r="AC94" s="2924"/>
    </row>
    <row r="95" spans="1:29" ht="15" thickTop="1">
      <c r="A95" s="556"/>
      <c r="B95" s="495" t="s">
        <v>2497</v>
      </c>
      <c r="C95" s="487"/>
      <c r="D95" s="487"/>
      <c r="E95" s="487"/>
      <c r="F95" s="487"/>
      <c r="G95" s="487"/>
      <c r="H95" s="487"/>
      <c r="I95" s="487"/>
      <c r="J95" s="487"/>
      <c r="K95" s="488"/>
      <c r="L95" s="489"/>
      <c r="M95" s="490"/>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3"/>
      <c r="O96" s="2953"/>
      <c r="P96" s="2961"/>
      <c r="Q96" s="2938"/>
      <c r="R96" s="2924"/>
      <c r="S96" s="2924"/>
      <c r="T96" s="2924"/>
      <c r="U96" s="2924"/>
      <c r="V96" s="2924"/>
      <c r="W96" s="2924"/>
      <c r="X96" s="2924"/>
      <c r="Y96" s="2924"/>
      <c r="Z96" s="2924"/>
      <c r="AA96" s="2924"/>
      <c r="AB96" s="2924"/>
      <c r="AC96" s="2924"/>
    </row>
    <row r="97" spans="1:29" ht="15" thickTop="1">
      <c r="A97" s="556"/>
      <c r="B97" s="592">
        <f>B34</f>
        <v>111</v>
      </c>
      <c r="C97" s="506"/>
      <c r="D97" s="506"/>
      <c r="E97" s="506"/>
      <c r="F97" s="506"/>
      <c r="G97" s="511"/>
      <c r="H97" s="512"/>
      <c r="I97" s="512"/>
      <c r="J97" s="512"/>
      <c r="K97" s="512"/>
      <c r="L97" s="513"/>
      <c r="M97" s="514"/>
      <c r="N97" s="2953"/>
      <c r="O97" s="2953"/>
      <c r="P97" s="2966"/>
      <c r="Q97" s="2967"/>
      <c r="R97" s="2924"/>
      <c r="S97" s="2924"/>
      <c r="T97" s="2924"/>
      <c r="U97" s="2924"/>
      <c r="V97" s="2924"/>
      <c r="W97" s="2924"/>
      <c r="X97" s="2924"/>
      <c r="Y97" s="2924"/>
      <c r="Z97" s="2924"/>
      <c r="AA97" s="2924"/>
      <c r="AB97" s="2924"/>
      <c r="AC97" s="2924"/>
    </row>
    <row r="98" spans="1:29" ht="15.75" thickBot="1">
      <c r="A98" s="491"/>
      <c r="B98" s="500"/>
      <c r="C98" s="517"/>
      <c r="D98" s="493"/>
      <c r="E98" s="493"/>
      <c r="F98" s="493"/>
      <c r="G98" s="517"/>
      <c r="H98" s="519"/>
      <c r="I98" s="519"/>
      <c r="J98" s="519"/>
      <c r="K98" s="519"/>
      <c r="L98" s="519"/>
      <c r="M98" s="520"/>
      <c r="N98" s="2953"/>
      <c r="O98" s="2953"/>
      <c r="P98" s="2961"/>
      <c r="Q98" s="2938"/>
      <c r="R98" s="2924"/>
      <c r="S98" s="2924"/>
      <c r="T98" s="2924"/>
      <c r="U98" s="2924"/>
      <c r="V98" s="2924"/>
      <c r="W98" s="2924"/>
      <c r="X98" s="2924"/>
      <c r="Y98" s="2924"/>
      <c r="Z98" s="2924"/>
      <c r="AA98" s="2924"/>
      <c r="AB98" s="2924"/>
      <c r="AC98" s="2924"/>
    </row>
    <row r="99" spans="1:29" s="430" customFormat="1" ht="15" thickTop="1">
      <c r="A99" s="550"/>
      <c r="B99" s="495">
        <f>B35</f>
        <v>111</v>
      </c>
      <c r="C99" s="506"/>
      <c r="D99" s="506"/>
      <c r="E99" s="506"/>
      <c r="F99" s="506"/>
      <c r="G99" s="511"/>
      <c r="H99" s="512"/>
      <c r="I99" s="512"/>
      <c r="J99" s="512"/>
      <c r="K99" s="512"/>
      <c r="L99" s="513"/>
      <c r="M99" s="514"/>
      <c r="N99" s="2954"/>
      <c r="O99" s="2954"/>
      <c r="P99" s="2962"/>
      <c r="Q99" s="2945"/>
      <c r="R99" s="2946"/>
      <c r="S99" s="2946"/>
      <c r="T99" s="2946"/>
      <c r="U99" s="2946"/>
      <c r="V99" s="2946"/>
      <c r="W99" s="2946"/>
      <c r="X99" s="2946"/>
      <c r="Y99" s="2946"/>
      <c r="Z99" s="2946"/>
      <c r="AA99" s="2946"/>
      <c r="AB99" s="2946"/>
      <c r="AC99" s="2946"/>
    </row>
    <row r="100" spans="1:29" s="430" customFormat="1" ht="15.75" thickBot="1">
      <c r="A100" s="510"/>
      <c r="B100" s="492"/>
      <c r="C100" s="517"/>
      <c r="D100" s="493"/>
      <c r="E100" s="493"/>
      <c r="F100" s="493"/>
      <c r="G100" s="517"/>
      <c r="H100" s="519"/>
      <c r="I100" s="519"/>
      <c r="J100" s="519"/>
      <c r="K100" s="519"/>
      <c r="L100" s="519"/>
      <c r="M100" s="520"/>
      <c r="N100" s="2954"/>
      <c r="O100" s="2954"/>
      <c r="P100" s="2962"/>
      <c r="Q100" s="2945"/>
      <c r="R100" s="2946"/>
      <c r="S100" s="2946"/>
      <c r="T100" s="2946"/>
      <c r="U100" s="2946"/>
      <c r="V100" s="2946"/>
      <c r="W100" s="2946"/>
      <c r="X100" s="2946"/>
      <c r="Y100" s="2946"/>
      <c r="Z100" s="2946"/>
      <c r="AA100" s="2946"/>
      <c r="AB100" s="2946"/>
      <c r="AC100" s="2946"/>
    </row>
    <row r="101" spans="1:29" ht="15" thickTop="1">
      <c r="A101" s="556"/>
      <c r="B101" s="495">
        <f>B36</f>
        <v>111</v>
      </c>
      <c r="C101" s="511"/>
      <c r="D101" s="511"/>
      <c r="E101" s="511"/>
      <c r="F101" s="511"/>
      <c r="G101" s="511"/>
      <c r="H101" s="512"/>
      <c r="I101" s="512"/>
      <c r="J101" s="512"/>
      <c r="K101" s="512"/>
      <c r="L101" s="513"/>
      <c r="M101" s="514"/>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17"/>
      <c r="D102" s="517"/>
      <c r="E102" s="517"/>
      <c r="F102" s="517"/>
      <c r="G102" s="517"/>
      <c r="H102" s="519"/>
      <c r="I102" s="519"/>
      <c r="J102" s="519"/>
      <c r="K102" s="519"/>
      <c r="L102" s="519"/>
      <c r="M102" s="520"/>
      <c r="N102" s="2953"/>
      <c r="O102" s="2953"/>
      <c r="P102" s="2961"/>
      <c r="Q102" s="2938"/>
      <c r="R102" s="2924"/>
      <c r="S102" s="2924"/>
      <c r="T102" s="2924"/>
      <c r="U102" s="2924"/>
      <c r="V102" s="2924"/>
      <c r="W102" s="2924"/>
      <c r="X102" s="2924"/>
      <c r="Y102" s="2924"/>
      <c r="Z102" s="2924"/>
      <c r="AA102" s="2924"/>
      <c r="AB102" s="2924"/>
      <c r="AC102" s="2924"/>
    </row>
    <row r="103" spans="1:29" ht="15" thickTop="1">
      <c r="N103" s="2924"/>
      <c r="O103" s="2924"/>
      <c r="P103" s="2955"/>
      <c r="Q103" s="2924"/>
      <c r="R103" s="2924"/>
      <c r="S103" s="2924"/>
      <c r="T103" s="2924"/>
      <c r="U103" s="2924"/>
      <c r="V103" s="2924"/>
      <c r="W103" s="2924"/>
      <c r="X103" s="2924"/>
      <c r="Y103" s="2924"/>
      <c r="Z103" s="2924"/>
      <c r="AA103" s="2924"/>
      <c r="AB103" s="2924"/>
      <c r="AC103" s="29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7"/>
      <c r="D2" s="1038" t="e">
        <f ca="1">SUMIF(INDIRECT("'"&amp;F2&amp;"'"&amp;"!A:A"),"承租人权益价值",INDIRECT("'"&amp;F2&amp;"'"&amp;"!c:c"))</f>
        <v>#REF!</v>
      </c>
      <c r="E2" s="2038" t="s">
        <v>2089</v>
      </c>
      <c r="F2" s="2039"/>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2406</v>
      </c>
      <c r="B4" s="362"/>
      <c r="C4" s="3586" t="s">
        <v>2407</v>
      </c>
      <c r="D4" s="3587"/>
      <c r="E4" s="3588" t="s">
        <v>2408</v>
      </c>
      <c r="F4" s="3589"/>
      <c r="G4" s="3586" t="s">
        <v>2409</v>
      </c>
      <c r="H4" s="3587"/>
      <c r="I4" s="3586" t="s">
        <v>2410</v>
      </c>
      <c r="J4" s="3587"/>
      <c r="K4" s="567" t="s">
        <v>2411</v>
      </c>
      <c r="L4" s="2914"/>
      <c r="M4" s="2915"/>
      <c r="N4" s="2915"/>
      <c r="O4" s="2915"/>
      <c r="P4" s="3590" t="s">
        <v>2412</v>
      </c>
      <c r="Q4" s="3591"/>
      <c r="R4" s="3573" t="s">
        <v>2408</v>
      </c>
      <c r="S4" s="3574"/>
      <c r="T4" s="3573" t="s">
        <v>2409</v>
      </c>
      <c r="U4" s="3574"/>
      <c r="V4" s="3598" t="s">
        <v>2410</v>
      </c>
      <c r="W4" s="3598"/>
      <c r="X4" s="1509"/>
      <c r="Y4" s="3573" t="s">
        <v>2412</v>
      </c>
      <c r="Z4" s="3574"/>
      <c r="AA4" s="3568" t="s">
        <v>2408</v>
      </c>
      <c r="AB4" s="3569" t="s">
        <v>2409</v>
      </c>
      <c r="AC4" s="3568" t="s">
        <v>2410</v>
      </c>
    </row>
    <row r="5" spans="1:29" ht="15">
      <c r="A5" s="364"/>
      <c r="B5" s="365"/>
      <c r="C5" s="3579" t="s">
        <v>2303</v>
      </c>
      <c r="D5" s="3580"/>
      <c r="E5" s="3577" t="s">
        <v>2304</v>
      </c>
      <c r="F5" s="3578"/>
      <c r="G5" s="3579" t="s">
        <v>2305</v>
      </c>
      <c r="H5" s="3580"/>
      <c r="I5" s="3579" t="s">
        <v>2306</v>
      </c>
      <c r="J5" s="3580"/>
      <c r="K5" s="567"/>
      <c r="L5" s="2914"/>
      <c r="M5" s="2915"/>
      <c r="N5" s="2915"/>
      <c r="O5" s="2915"/>
      <c r="P5" s="3592"/>
      <c r="Q5" s="3593"/>
      <c r="R5" s="3575"/>
      <c r="S5" s="3576"/>
      <c r="T5" s="3575"/>
      <c r="U5" s="3576"/>
      <c r="V5" s="3598"/>
      <c r="W5" s="3598"/>
      <c r="X5" s="1509"/>
      <c r="Y5" s="3575"/>
      <c r="Z5" s="3576"/>
      <c r="AA5" s="3569"/>
      <c r="AB5" s="3569"/>
      <c r="AC5" s="3569"/>
    </row>
    <row r="6" spans="1:29" ht="15.75" thickBot="1">
      <c r="A6" s="366"/>
      <c r="B6" s="367"/>
      <c r="C6" s="3581" t="s">
        <v>2307</v>
      </c>
      <c r="D6" s="3582"/>
      <c r="E6" s="3583" t="s">
        <v>2307</v>
      </c>
      <c r="F6" s="3584"/>
      <c r="G6" s="3581" t="s">
        <v>2307</v>
      </c>
      <c r="H6" s="3582"/>
      <c r="I6" s="3581" t="s">
        <v>2307</v>
      </c>
      <c r="J6" s="3582"/>
      <c r="K6" s="567" t="s">
        <v>2308</v>
      </c>
      <c r="L6" s="2914"/>
      <c r="M6" s="2915"/>
      <c r="N6" s="2915"/>
      <c r="O6" s="2915"/>
      <c r="P6" s="3594"/>
      <c r="Q6" s="3595"/>
      <c r="R6" s="3575"/>
      <c r="S6" s="3576"/>
      <c r="T6" s="3596"/>
      <c r="U6" s="3597"/>
      <c r="V6" s="3598"/>
      <c r="W6" s="3598"/>
      <c r="X6" s="1509"/>
      <c r="Y6" s="3596"/>
      <c r="Z6" s="3597"/>
      <c r="AA6" s="3570"/>
      <c r="AB6" s="3570"/>
      <c r="AC6" s="3570"/>
    </row>
    <row r="7" spans="1:29" s="113" customFormat="1" ht="15.75" thickBot="1">
      <c r="A7" s="368" t="s">
        <v>2309</v>
      </c>
      <c r="B7" s="369"/>
      <c r="C7" s="370">
        <f>'数据-取费表'!B2</f>
        <v>44543</v>
      </c>
      <c r="D7" s="371">
        <v>100</v>
      </c>
      <c r="E7" s="372"/>
      <c r="F7" s="373">
        <f>SUMIF(46:46,YEAR(E7)&amp;"-"&amp;MONTH(E7),47:47)</f>
        <v>0</v>
      </c>
      <c r="G7" s="2130"/>
      <c r="H7" s="371">
        <f>SUMIF(46:46,YEAR(G7)&amp;"-"&amp;MONTH(G7),47:47)</f>
        <v>0</v>
      </c>
      <c r="I7" s="372"/>
      <c r="J7" s="371">
        <f>SUMIF(46:46,YEAR(I7)&amp;"-"&amp;MONTH(I7),47:47)</f>
        <v>0</v>
      </c>
      <c r="K7" s="568"/>
      <c r="L7" s="2916"/>
      <c r="M7" s="2917"/>
      <c r="N7" s="2917"/>
      <c r="O7" s="2917"/>
      <c r="P7" s="3571" t="s">
        <v>2310</v>
      </c>
      <c r="Q7" s="3599"/>
      <c r="R7" s="710" t="s">
        <v>17</v>
      </c>
      <c r="S7" s="711">
        <f t="shared" ref="S7:S14" si="0">F7</f>
        <v>0</v>
      </c>
      <c r="T7" s="710" t="s">
        <v>17</v>
      </c>
      <c r="U7" s="711">
        <f t="shared" ref="U7:U14" si="1">H7</f>
        <v>0</v>
      </c>
      <c r="V7" s="710" t="s">
        <v>17</v>
      </c>
      <c r="W7" s="711">
        <f t="shared" ref="W7:W14" si="2">J7</f>
        <v>0</v>
      </c>
      <c r="X7" s="712"/>
      <c r="Y7" s="3571" t="s">
        <v>2310</v>
      </c>
      <c r="Z7" s="3572"/>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6"/>
      <c r="M8" s="2917"/>
      <c r="N8" s="2917"/>
      <c r="O8" s="2917"/>
      <c r="P8" s="3571" t="s">
        <v>2313</v>
      </c>
      <c r="Q8" s="3572"/>
      <c r="R8" s="710" t="s">
        <v>17</v>
      </c>
      <c r="S8" s="711">
        <f t="shared" si="0"/>
        <v>0</v>
      </c>
      <c r="T8" s="710" t="s">
        <v>17</v>
      </c>
      <c r="U8" s="711">
        <f t="shared" si="1"/>
        <v>0</v>
      </c>
      <c r="V8" s="710" t="s">
        <v>17</v>
      </c>
      <c r="W8" s="711">
        <f t="shared" si="2"/>
        <v>0</v>
      </c>
      <c r="X8" s="712"/>
      <c r="Y8" s="3571" t="s">
        <v>2313</v>
      </c>
      <c r="Z8" s="3572"/>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6"/>
      <c r="M9" s="2917"/>
      <c r="N9" s="2917"/>
      <c r="O9" s="2971"/>
      <c r="P9" s="3585" t="s">
        <v>2316</v>
      </c>
      <c r="Q9" s="1497" t="str">
        <f t="shared" ref="Q9:Q14" si="6">B9</f>
        <v>用途</v>
      </c>
      <c r="R9" s="710" t="s">
        <v>17</v>
      </c>
      <c r="S9" s="711">
        <f t="shared" si="0"/>
        <v>100</v>
      </c>
      <c r="T9" s="710" t="s">
        <v>17</v>
      </c>
      <c r="U9" s="711">
        <f t="shared" si="1"/>
        <v>100</v>
      </c>
      <c r="V9" s="710" t="s">
        <v>17</v>
      </c>
      <c r="W9" s="711">
        <f t="shared" si="2"/>
        <v>100</v>
      </c>
      <c r="X9" s="712"/>
      <c r="Y9" s="3541"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8"/>
      <c r="M10" s="2919"/>
      <c r="N10" s="2919"/>
      <c r="O10" s="2972"/>
      <c r="P10" s="3585"/>
      <c r="Q10" s="1497" t="str">
        <f t="shared" si="6"/>
        <v>土地使用年限（年）</v>
      </c>
      <c r="R10" s="710" t="s">
        <v>17</v>
      </c>
      <c r="S10" s="711">
        <f t="shared" si="0"/>
        <v>100</v>
      </c>
      <c r="T10" s="710" t="s">
        <v>17</v>
      </c>
      <c r="U10" s="711">
        <f t="shared" si="1"/>
        <v>100</v>
      </c>
      <c r="V10" s="710" t="s">
        <v>17</v>
      </c>
      <c r="W10" s="711">
        <f t="shared" si="2"/>
        <v>100</v>
      </c>
      <c r="X10" s="712"/>
      <c r="Y10" s="3541"/>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20"/>
      <c r="M11" s="2915"/>
      <c r="N11" s="2915"/>
      <c r="O11" s="2973"/>
      <c r="P11" s="3585"/>
      <c r="Q11" s="1497">
        <f t="shared" si="6"/>
        <v>111</v>
      </c>
      <c r="R11" s="710" t="s">
        <v>17</v>
      </c>
      <c r="S11" s="711">
        <f t="shared" si="0"/>
        <v>100</v>
      </c>
      <c r="T11" s="710" t="s">
        <v>17</v>
      </c>
      <c r="U11" s="711">
        <f t="shared" si="1"/>
        <v>100</v>
      </c>
      <c r="V11" s="710" t="s">
        <v>17</v>
      </c>
      <c r="W11" s="711">
        <f t="shared" si="2"/>
        <v>100</v>
      </c>
      <c r="X11" s="712"/>
      <c r="Y11" s="3541"/>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6"/>
      <c r="M12" s="2917"/>
      <c r="N12" s="2917"/>
      <c r="O12" s="2971"/>
      <c r="P12" s="3585"/>
      <c r="Q12" s="1497">
        <f t="shared" si="6"/>
        <v>111</v>
      </c>
      <c r="R12" s="710" t="s">
        <v>17</v>
      </c>
      <c r="S12" s="711">
        <f t="shared" si="0"/>
        <v>100</v>
      </c>
      <c r="T12" s="710" t="s">
        <v>17</v>
      </c>
      <c r="U12" s="711">
        <f t="shared" si="1"/>
        <v>100</v>
      </c>
      <c r="V12" s="710" t="s">
        <v>17</v>
      </c>
      <c r="W12" s="711">
        <f t="shared" si="2"/>
        <v>100</v>
      </c>
      <c r="X12" s="712"/>
      <c r="Y12" s="3541"/>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21"/>
      <c r="M13" s="2915"/>
      <c r="N13" s="2915"/>
      <c r="O13" s="2973"/>
      <c r="P13" s="3585"/>
      <c r="Q13" s="1497">
        <f t="shared" si="6"/>
        <v>111</v>
      </c>
      <c r="R13" s="710" t="s">
        <v>17</v>
      </c>
      <c r="S13" s="711">
        <f t="shared" si="0"/>
        <v>100</v>
      </c>
      <c r="T13" s="710" t="s">
        <v>17</v>
      </c>
      <c r="U13" s="711">
        <f t="shared" si="1"/>
        <v>100</v>
      </c>
      <c r="V13" s="710" t="s">
        <v>17</v>
      </c>
      <c r="W13" s="711">
        <f t="shared" si="2"/>
        <v>100</v>
      </c>
      <c r="X13" s="712"/>
      <c r="Y13" s="3541"/>
      <c r="Z13" s="55">
        <f t="shared" si="7"/>
        <v>111</v>
      </c>
      <c r="AA13" s="713">
        <f t="shared" si="3"/>
        <v>1</v>
      </c>
      <c r="AB13" s="713">
        <f t="shared" si="4"/>
        <v>1</v>
      </c>
      <c r="AC13" s="713">
        <f t="shared" si="5"/>
        <v>1</v>
      </c>
    </row>
    <row r="14" spans="1:29" ht="85.5">
      <c r="A14" s="399" t="s">
        <v>2320</v>
      </c>
      <c r="B14" s="65" t="s">
        <v>2470</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1"/>
      <c r="M14" s="2915"/>
      <c r="N14" s="2915"/>
      <c r="O14" s="2973"/>
      <c r="P14" s="3600" t="s">
        <v>2321</v>
      </c>
      <c r="Q14" s="1506" t="str">
        <f t="shared" si="6"/>
        <v>交通便捷度</v>
      </c>
      <c r="R14" s="714" t="s">
        <v>17</v>
      </c>
      <c r="S14" s="715">
        <f t="shared" si="0"/>
        <v>100</v>
      </c>
      <c r="T14" s="714" t="s">
        <v>17</v>
      </c>
      <c r="U14" s="715">
        <f t="shared" si="1"/>
        <v>100</v>
      </c>
      <c r="V14" s="714" t="s">
        <v>17</v>
      </c>
      <c r="W14" s="715">
        <f t="shared" si="2"/>
        <v>100</v>
      </c>
      <c r="X14" s="1509"/>
      <c r="Y14" s="3600"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1"/>
      <c r="M15" s="2915"/>
      <c r="N15" s="2915"/>
      <c r="O15" s="2973"/>
      <c r="P15" s="3601"/>
      <c r="Q15" s="1506"/>
      <c r="R15" s="714"/>
      <c r="S15" s="715"/>
      <c r="T15" s="714"/>
      <c r="U15" s="715"/>
      <c r="V15" s="714"/>
      <c r="W15" s="715"/>
      <c r="X15" s="1509"/>
      <c r="Y15" s="3601"/>
      <c r="Z15" s="1510"/>
      <c r="AA15" s="1507">
        <v>1</v>
      </c>
      <c r="AB15" s="1507">
        <v>1</v>
      </c>
      <c r="AC15" s="1507">
        <v>1</v>
      </c>
    </row>
    <row r="16" spans="1:29" ht="42.75">
      <c r="A16" s="387"/>
      <c r="B16" s="410" t="s">
        <v>2449</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1"/>
      <c r="M16" s="2915"/>
      <c r="N16" s="2915"/>
      <c r="O16" s="2973"/>
      <c r="P16" s="3601"/>
      <c r="Q16" s="1506" t="str">
        <f>B16</f>
        <v>公共配套设施</v>
      </c>
      <c r="R16" s="714" t="s">
        <v>17</v>
      </c>
      <c r="S16" s="715">
        <f>F16</f>
        <v>100</v>
      </c>
      <c r="T16" s="714" t="s">
        <v>17</v>
      </c>
      <c r="U16" s="715">
        <f>H16</f>
        <v>100</v>
      </c>
      <c r="V16" s="714" t="s">
        <v>17</v>
      </c>
      <c r="W16" s="715">
        <f>J16</f>
        <v>100</v>
      </c>
      <c r="X16" s="1509"/>
      <c r="Y16" s="3601"/>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21"/>
      <c r="M17" s="2915"/>
      <c r="N17" s="2915"/>
      <c r="O17" s="2973"/>
      <c r="P17" s="3601"/>
      <c r="Q17" s="1506"/>
      <c r="R17" s="714"/>
      <c r="S17" s="715"/>
      <c r="T17" s="714"/>
      <c r="U17" s="715"/>
      <c r="V17" s="714"/>
      <c r="W17" s="715"/>
      <c r="X17" s="1509"/>
      <c r="Y17" s="3601"/>
      <c r="Z17" s="1510"/>
      <c r="AA17" s="1507">
        <v>1</v>
      </c>
      <c r="AB17" s="1507">
        <v>1</v>
      </c>
      <c r="AC17" s="1507">
        <v>1</v>
      </c>
    </row>
    <row r="18" spans="1:29" ht="28.5">
      <c r="A18" s="387"/>
      <c r="B18" s="1265" t="s">
        <v>2450</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1"/>
      <c r="M18" s="2915"/>
      <c r="N18" s="2915"/>
      <c r="O18" s="2973"/>
      <c r="P18" s="3601"/>
      <c r="Q18" s="1506" t="str">
        <f>B18</f>
        <v>基础设施水平</v>
      </c>
      <c r="R18" s="714" t="s">
        <v>17</v>
      </c>
      <c r="S18" s="715">
        <f>F18</f>
        <v>100</v>
      </c>
      <c r="T18" s="714" t="s">
        <v>17</v>
      </c>
      <c r="U18" s="715">
        <f>H18</f>
        <v>100</v>
      </c>
      <c r="V18" s="714" t="s">
        <v>17</v>
      </c>
      <c r="W18" s="715">
        <f>J18</f>
        <v>100</v>
      </c>
      <c r="X18" s="1509"/>
      <c r="Y18" s="3601"/>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21"/>
      <c r="M19" s="2915"/>
      <c r="N19" s="2915"/>
      <c r="O19" s="2973"/>
      <c r="P19" s="3601"/>
      <c r="Q19" s="1506"/>
      <c r="R19" s="714"/>
      <c r="S19" s="715"/>
      <c r="T19" s="714"/>
      <c r="U19" s="715"/>
      <c r="V19" s="714"/>
      <c r="W19" s="715"/>
      <c r="X19" s="1509"/>
      <c r="Y19" s="3601"/>
      <c r="Z19" s="1510"/>
      <c r="AA19" s="1507">
        <v>1</v>
      </c>
      <c r="AB19" s="1507">
        <v>1</v>
      </c>
      <c r="AC19" s="1507">
        <v>1</v>
      </c>
    </row>
    <row r="20" spans="1:29" ht="57">
      <c r="A20" s="387"/>
      <c r="B20" s="410" t="s">
        <v>2471</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1"/>
      <c r="M20" s="2915"/>
      <c r="N20" s="2915"/>
      <c r="O20" s="2973"/>
      <c r="P20" s="3601"/>
      <c r="Q20" s="1506" t="str">
        <f>B20</f>
        <v>自然及人文环境</v>
      </c>
      <c r="R20" s="714" t="s">
        <v>17</v>
      </c>
      <c r="S20" s="715">
        <f>F20</f>
        <v>100</v>
      </c>
      <c r="T20" s="714" t="s">
        <v>17</v>
      </c>
      <c r="U20" s="715">
        <f>H20</f>
        <v>100</v>
      </c>
      <c r="V20" s="714" t="s">
        <v>17</v>
      </c>
      <c r="W20" s="715">
        <f>J20</f>
        <v>100</v>
      </c>
      <c r="X20" s="1509"/>
      <c r="Y20" s="3601"/>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1"/>
      <c r="M21" s="2915"/>
      <c r="N21" s="2915"/>
      <c r="O21" s="2973"/>
      <c r="P21" s="3601"/>
      <c r="Q21" s="1506"/>
      <c r="R21" s="714"/>
      <c r="S21" s="715"/>
      <c r="T21" s="714"/>
      <c r="U21" s="715"/>
      <c r="V21" s="714"/>
      <c r="W21" s="715"/>
      <c r="X21" s="1509"/>
      <c r="Y21" s="3601"/>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21"/>
      <c r="M22" s="2915"/>
      <c r="N22" s="2915"/>
      <c r="O22" s="2973"/>
      <c r="P22" s="3601"/>
      <c r="Q22" s="1506" t="str">
        <f>B22</f>
        <v>楼层</v>
      </c>
      <c r="R22" s="714" t="s">
        <v>17</v>
      </c>
      <c r="S22" s="715">
        <f>F22</f>
        <v>100</v>
      </c>
      <c r="T22" s="714" t="s">
        <v>17</v>
      </c>
      <c r="U22" s="715">
        <f>H22</f>
        <v>100</v>
      </c>
      <c r="V22" s="714" t="s">
        <v>17</v>
      </c>
      <c r="W22" s="715">
        <f>J22</f>
        <v>100</v>
      </c>
      <c r="X22" s="1509"/>
      <c r="Y22" s="3601"/>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21"/>
      <c r="M23" s="2915"/>
      <c r="N23" s="2915"/>
      <c r="O23" s="2973"/>
      <c r="P23" s="3601"/>
      <c r="Q23" s="1506">
        <f>B23</f>
        <v>111</v>
      </c>
      <c r="R23" s="714" t="s">
        <v>17</v>
      </c>
      <c r="S23" s="715">
        <f>F23</f>
        <v>100</v>
      </c>
      <c r="T23" s="714" t="s">
        <v>17</v>
      </c>
      <c r="U23" s="715">
        <f>H23</f>
        <v>100</v>
      </c>
      <c r="V23" s="714" t="s">
        <v>17</v>
      </c>
      <c r="W23" s="715">
        <f>J23</f>
        <v>100</v>
      </c>
      <c r="X23" s="1509"/>
      <c r="Y23" s="3601"/>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21"/>
      <c r="M24" s="2915"/>
      <c r="N24" s="2915"/>
      <c r="O24" s="2973"/>
      <c r="P24" s="3601"/>
      <c r="Q24" s="1506">
        <f t="shared" ref="Q24:Q34" si="11">B24</f>
        <v>111</v>
      </c>
      <c r="R24" s="714" t="s">
        <v>17</v>
      </c>
      <c r="S24" s="715">
        <f>F24</f>
        <v>100</v>
      </c>
      <c r="T24" s="714" t="s">
        <v>17</v>
      </c>
      <c r="U24" s="715">
        <f>H24</f>
        <v>100</v>
      </c>
      <c r="V24" s="714" t="s">
        <v>17</v>
      </c>
      <c r="W24" s="715">
        <f>J24</f>
        <v>100</v>
      </c>
      <c r="X24" s="1509"/>
      <c r="Y24" s="3601"/>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6"/>
      <c r="M25" s="2917"/>
      <c r="N25" s="2917"/>
      <c r="O25" s="2971"/>
      <c r="P25" s="3601"/>
      <c r="Q25" s="1497">
        <f t="shared" si="11"/>
        <v>111</v>
      </c>
      <c r="R25" s="710" t="s">
        <v>17</v>
      </c>
      <c r="S25" s="711">
        <f>F25</f>
        <v>100</v>
      </c>
      <c r="T25" s="710" t="s">
        <v>17</v>
      </c>
      <c r="U25" s="711">
        <f>H25</f>
        <v>100</v>
      </c>
      <c r="V25" s="710" t="s">
        <v>17</v>
      </c>
      <c r="W25" s="711">
        <f>J25</f>
        <v>100</v>
      </c>
      <c r="X25" s="712"/>
      <c r="Y25" s="3601"/>
      <c r="Z25" s="55">
        <f>Q25</f>
        <v>111</v>
      </c>
      <c r="AA25" s="1507">
        <f>D25/F25</f>
        <v>1</v>
      </c>
      <c r="AB25" s="1507">
        <f>D25/H25</f>
        <v>1</v>
      </c>
      <c r="AC25" s="1507">
        <f>D25/J25</f>
        <v>1</v>
      </c>
    </row>
    <row r="26" spans="1:29" ht="28.5">
      <c r="A26" s="425" t="s">
        <v>2324</v>
      </c>
      <c r="B26" s="67" t="s">
        <v>2475</v>
      </c>
      <c r="C26" s="2123"/>
      <c r="D26" s="426">
        <v>100</v>
      </c>
      <c r="E26" s="2123"/>
      <c r="F26" s="623">
        <f>SUMIF(77:77,E26,78:78)-SUMIF(77:77,C26,78:78)+100</f>
        <v>100</v>
      </c>
      <c r="G26" s="2123"/>
      <c r="H26" s="426">
        <f>SUMIF(77:77,G26,78:78)-SUMIF(77:77,C26,78:78)+100</f>
        <v>100</v>
      </c>
      <c r="I26" s="2123"/>
      <c r="J26" s="426">
        <f>SUMIF(77:77,I26,78:78)-SUMIF(77:77,C26,78:78)+100</f>
        <v>100</v>
      </c>
      <c r="K26" s="569"/>
      <c r="L26" s="2921"/>
      <c r="M26" s="2915"/>
      <c r="N26" s="2915"/>
      <c r="O26" s="2973"/>
      <c r="P26" s="3602"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603"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20"/>
      <c r="M27" s="2922"/>
      <c r="N27" s="2922"/>
      <c r="O27" s="2974"/>
      <c r="P27" s="3603"/>
      <c r="Q27" s="716" t="str">
        <f t="shared" si="11"/>
        <v>成新率</v>
      </c>
      <c r="R27" s="717" t="s">
        <v>17</v>
      </c>
      <c r="S27" s="718" t="e">
        <f t="shared" si="12"/>
        <v>#N/A</v>
      </c>
      <c r="T27" s="717" t="s">
        <v>17</v>
      </c>
      <c r="U27" s="718" t="e">
        <f t="shared" si="13"/>
        <v>#N/A</v>
      </c>
      <c r="V27" s="717" t="s">
        <v>17</v>
      </c>
      <c r="W27" s="718" t="e">
        <f t="shared" si="14"/>
        <v>#N/A</v>
      </c>
      <c r="X27" s="719"/>
      <c r="Y27" s="3603"/>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21"/>
      <c r="M28" s="2915"/>
      <c r="N28" s="2915"/>
      <c r="O28" s="2973"/>
      <c r="P28" s="3603"/>
      <c r="Q28" s="1506" t="str">
        <f t="shared" si="11"/>
        <v>物业等级</v>
      </c>
      <c r="R28" s="714" t="s">
        <v>17</v>
      </c>
      <c r="S28" s="715">
        <f t="shared" si="12"/>
        <v>100</v>
      </c>
      <c r="T28" s="714" t="s">
        <v>17</v>
      </c>
      <c r="U28" s="715">
        <f t="shared" si="13"/>
        <v>100</v>
      </c>
      <c r="V28" s="714" t="s">
        <v>17</v>
      </c>
      <c r="W28" s="715">
        <f t="shared" si="14"/>
        <v>100</v>
      </c>
      <c r="X28" s="1509"/>
      <c r="Y28" s="3603"/>
      <c r="Z28" s="1510" t="str">
        <f t="shared" si="15"/>
        <v>物业等级</v>
      </c>
      <c r="AA28" s="1507">
        <f t="shared" si="3"/>
        <v>1</v>
      </c>
      <c r="AB28" s="1507">
        <f t="shared" si="4"/>
        <v>1</v>
      </c>
      <c r="AC28" s="1507">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21"/>
      <c r="M29" s="2915"/>
      <c r="N29" s="2915"/>
      <c r="O29" s="2973"/>
      <c r="P29" s="3603"/>
      <c r="Q29" s="1506" t="str">
        <f t="shared" si="11"/>
        <v>有无电梯</v>
      </c>
      <c r="R29" s="714" t="s">
        <v>17</v>
      </c>
      <c r="S29" s="715">
        <f t="shared" si="12"/>
        <v>100</v>
      </c>
      <c r="T29" s="714" t="s">
        <v>17</v>
      </c>
      <c r="U29" s="715">
        <f t="shared" si="13"/>
        <v>100</v>
      </c>
      <c r="V29" s="714" t="s">
        <v>17</v>
      </c>
      <c r="W29" s="715">
        <f t="shared" si="14"/>
        <v>100</v>
      </c>
      <c r="X29" s="1509"/>
      <c r="Y29" s="3603"/>
      <c r="Z29" s="1510" t="str">
        <f t="shared" si="15"/>
        <v>有无电梯</v>
      </c>
      <c r="AA29" s="1507">
        <f t="shared" si="3"/>
        <v>1</v>
      </c>
      <c r="AB29" s="1507">
        <f t="shared" si="4"/>
        <v>1</v>
      </c>
      <c r="AC29" s="1507">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1"/>
      <c r="M30" s="2915"/>
      <c r="N30" s="2915"/>
      <c r="O30" s="2973"/>
      <c r="P30" s="3603"/>
      <c r="Q30" s="1506" t="str">
        <f t="shared" si="11"/>
        <v>建筑面积</v>
      </c>
      <c r="R30" s="714" t="s">
        <v>17</v>
      </c>
      <c r="S30" s="715" t="e">
        <f t="shared" si="12"/>
        <v>#N/A</v>
      </c>
      <c r="T30" s="714" t="s">
        <v>17</v>
      </c>
      <c r="U30" s="715" t="e">
        <f t="shared" si="13"/>
        <v>#N/A</v>
      </c>
      <c r="V30" s="714" t="s">
        <v>17</v>
      </c>
      <c r="W30" s="715" t="e">
        <f t="shared" si="14"/>
        <v>#N/A</v>
      </c>
      <c r="X30" s="1509"/>
      <c r="Y30" s="3603"/>
      <c r="Z30" s="1510" t="str">
        <f t="shared" si="15"/>
        <v>建筑面积</v>
      </c>
      <c r="AA30" s="1507" t="e">
        <f t="shared" si="3"/>
        <v>#N/A</v>
      </c>
      <c r="AB30" s="1507" t="e">
        <f t="shared" si="4"/>
        <v>#N/A</v>
      </c>
      <c r="AC30" s="1507"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6"/>
      <c r="M31" s="2917"/>
      <c r="N31" s="2917"/>
      <c r="O31" s="2971"/>
      <c r="P31" s="3603"/>
      <c r="Q31" s="1497" t="str">
        <f t="shared" si="11"/>
        <v>是否封闭</v>
      </c>
      <c r="R31" s="710" t="s">
        <v>17</v>
      </c>
      <c r="S31" s="711">
        <f t="shared" si="12"/>
        <v>100</v>
      </c>
      <c r="T31" s="710" t="s">
        <v>17</v>
      </c>
      <c r="U31" s="711">
        <f t="shared" si="13"/>
        <v>100</v>
      </c>
      <c r="V31" s="710" t="s">
        <v>17</v>
      </c>
      <c r="W31" s="711">
        <f t="shared" si="14"/>
        <v>100</v>
      </c>
      <c r="X31" s="712"/>
      <c r="Y31" s="3603"/>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21"/>
      <c r="M32" s="2915"/>
      <c r="N32" s="2915"/>
      <c r="O32" s="2973"/>
      <c r="P32" s="3603" t="s">
        <v>2326</v>
      </c>
      <c r="Q32" s="1506">
        <f t="shared" si="11"/>
        <v>111</v>
      </c>
      <c r="R32" s="714" t="s">
        <v>17</v>
      </c>
      <c r="S32" s="715">
        <f t="shared" si="12"/>
        <v>100</v>
      </c>
      <c r="T32" s="714" t="s">
        <v>17</v>
      </c>
      <c r="U32" s="715">
        <f t="shared" si="13"/>
        <v>100</v>
      </c>
      <c r="V32" s="714" t="s">
        <v>17</v>
      </c>
      <c r="W32" s="715">
        <f t="shared" si="14"/>
        <v>100</v>
      </c>
      <c r="X32" s="1509"/>
      <c r="Y32" s="3603" t="s">
        <v>2326</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21"/>
      <c r="M33" s="2915"/>
      <c r="N33" s="2915"/>
      <c r="O33" s="2973"/>
      <c r="P33" s="3603"/>
      <c r="Q33" s="1506">
        <f t="shared" si="11"/>
        <v>111</v>
      </c>
      <c r="R33" s="714" t="s">
        <v>17</v>
      </c>
      <c r="S33" s="715">
        <f t="shared" si="12"/>
        <v>100</v>
      </c>
      <c r="T33" s="714" t="s">
        <v>17</v>
      </c>
      <c r="U33" s="715">
        <f t="shared" si="13"/>
        <v>100</v>
      </c>
      <c r="V33" s="714" t="s">
        <v>17</v>
      </c>
      <c r="W33" s="715">
        <f t="shared" si="14"/>
        <v>100</v>
      </c>
      <c r="X33" s="1509"/>
      <c r="Y33" s="3603"/>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21"/>
      <c r="M34" s="2915"/>
      <c r="N34" s="2915"/>
      <c r="O34" s="2973"/>
      <c r="P34" s="3603"/>
      <c r="Q34" s="1506">
        <f t="shared" si="11"/>
        <v>111</v>
      </c>
      <c r="R34" s="714" t="s">
        <v>17</v>
      </c>
      <c r="S34" s="715">
        <f t="shared" si="12"/>
        <v>100</v>
      </c>
      <c r="T34" s="714" t="s">
        <v>17</v>
      </c>
      <c r="U34" s="715">
        <f t="shared" si="13"/>
        <v>100</v>
      </c>
      <c r="V34" s="714" t="s">
        <v>17</v>
      </c>
      <c r="W34" s="715">
        <f t="shared" si="14"/>
        <v>100</v>
      </c>
      <c r="X34" s="1509"/>
      <c r="Y34" s="3603"/>
      <c r="Z34" s="1510">
        <f t="shared" si="15"/>
        <v>111</v>
      </c>
      <c r="AA34" s="1507">
        <f t="shared" si="3"/>
        <v>1</v>
      </c>
      <c r="AB34" s="1507">
        <f t="shared" si="4"/>
        <v>1</v>
      </c>
      <c r="AC34" s="1507">
        <f t="shared" si="5"/>
        <v>1</v>
      </c>
    </row>
    <row r="35" spans="1:30" ht="15">
      <c r="A35" s="438" t="s">
        <v>2338</v>
      </c>
      <c r="B35" s="439"/>
      <c r="C35" s="1288" t="s">
        <v>1</v>
      </c>
      <c r="D35" s="1289"/>
      <c r="E35" s="1290"/>
      <c r="F35" s="1291"/>
      <c r="G35" s="1292"/>
      <c r="H35" s="1293"/>
      <c r="I35" s="1290"/>
      <c r="J35" s="1293"/>
      <c r="K35" s="723"/>
      <c r="L35" s="2923"/>
      <c r="M35" s="2924"/>
      <c r="N35" s="2915"/>
      <c r="O35" s="2924"/>
      <c r="P35" s="3585" t="str">
        <f>A35</f>
        <v>成交单价（元/平方米）</v>
      </c>
      <c r="Q35" s="3585"/>
      <c r="R35" s="3638">
        <f>E35</f>
        <v>0</v>
      </c>
      <c r="S35" s="3638"/>
      <c r="T35" s="3638">
        <f>G35</f>
        <v>0</v>
      </c>
      <c r="U35" s="3638"/>
      <c r="V35" s="3638">
        <f>I35</f>
        <v>0</v>
      </c>
      <c r="W35" s="3638"/>
      <c r="X35" s="699"/>
      <c r="Y35" s="721"/>
      <c r="Z35" s="699"/>
      <c r="AA35" s="699"/>
      <c r="AB35" s="699"/>
      <c r="AC35" s="699"/>
    </row>
    <row r="36" spans="1:30" ht="15.75" thickBot="1">
      <c r="A36" s="445" t="s">
        <v>2430</v>
      </c>
      <c r="B36" s="446"/>
      <c r="C36" s="1294" t="e">
        <f>R37</f>
        <v>#DIV/0!</v>
      </c>
      <c r="D36" s="2508" t="s">
        <v>2821</v>
      </c>
      <c r="E36" s="1295" t="e">
        <f>R36</f>
        <v>#DIV/0!</v>
      </c>
      <c r="F36" s="2509"/>
      <c r="G36" s="1294" t="e">
        <f>T36</f>
        <v>#DIV/0!</v>
      </c>
      <c r="H36" s="2509"/>
      <c r="I36" s="1295" t="e">
        <f>V36</f>
        <v>#DIV/0!</v>
      </c>
      <c r="J36" s="2509"/>
      <c r="K36" s="2511">
        <f>F36+H36+J36</f>
        <v>0</v>
      </c>
      <c r="L36" s="2923"/>
      <c r="M36" s="2924"/>
      <c r="N36" s="2915"/>
      <c r="O36" s="2924"/>
      <c r="P36" s="3585" t="str">
        <f>A36</f>
        <v>比较价值（元/平方米）</v>
      </c>
      <c r="Q36" s="3585"/>
      <c r="R36" s="3638" t="e">
        <f>IF(F1="售价",ROUND(PRODUCT(R35,AA7:AA34),0),ROUND(PRODUCT(R35,AA7:AA34),1))</f>
        <v>#DIV/0!</v>
      </c>
      <c r="S36" s="3638"/>
      <c r="T36" s="3638" t="e">
        <f>IF(F1="售价",ROUND(PRODUCT(T35,AB7:AB34),0),ROUND(PRODUCT(T35,AB7:AB34),1))</f>
        <v>#DIV/0!</v>
      </c>
      <c r="U36" s="3638"/>
      <c r="V36" s="3638" t="e">
        <f>IF(F1="售价",ROUND(PRODUCT(V35,AC7:AC34),0),ROUND(PRODUCT(V35,AC7:AC34),1))</f>
        <v>#DIV/0!</v>
      </c>
      <c r="W36" s="3638"/>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3"/>
      <c r="M37" s="2924"/>
      <c r="N37" s="2924"/>
      <c r="O37" s="2924"/>
      <c r="P37" s="3605" t="str">
        <f>A37</f>
        <v>估价对象XX用房的比较价值（楼面单价，元/平方米）</v>
      </c>
      <c r="Q37" s="3606"/>
      <c r="R37" s="3660" t="e">
        <f>IF(F1="售价",ROUND(IF(D36="简单平均",AVERAGE(R36:W36),R36*F36+T36*H36+V36*J36),0),ROUND(IF(D36="简单平均",AVERAGE(R36:V36),R36*F36+T36*H36+V36*J36),1))</f>
        <v>#DIV/0!</v>
      </c>
      <c r="S37" s="3660"/>
      <c r="T37" s="3660"/>
      <c r="U37" s="3660"/>
      <c r="V37" s="3660"/>
      <c r="W37" s="3660"/>
      <c r="X37" s="699"/>
      <c r="Y37" s="699"/>
      <c r="Z37" s="699"/>
      <c r="AA37" s="699"/>
      <c r="AB37" s="699"/>
      <c r="AC37" s="699"/>
    </row>
    <row r="38" spans="1:30">
      <c r="A38" s="2924"/>
      <c r="B38" s="2924"/>
      <c r="C38" s="2924"/>
      <c r="D38" s="2924"/>
      <c r="E38" s="2924"/>
      <c r="F38" s="2924"/>
      <c r="G38" s="2928"/>
      <c r="H38" s="2924"/>
      <c r="I38" s="2924"/>
      <c r="J38" s="2924"/>
      <c r="K38" s="2929"/>
      <c r="L38" s="2925"/>
      <c r="M38" s="2924"/>
      <c r="N38" s="2924"/>
      <c r="O38" s="2924"/>
      <c r="P38" s="2924"/>
      <c r="Q38" s="2924"/>
      <c r="R38" s="2924"/>
      <c r="S38" s="2924"/>
      <c r="T38" s="2924"/>
      <c r="U38" s="2924"/>
      <c r="V38" s="2924"/>
      <c r="W38" s="2924"/>
      <c r="X38" s="2924"/>
      <c r="Y38" s="2924"/>
      <c r="Z38" s="2924"/>
      <c r="AA38" s="2924"/>
      <c r="AB38" s="2924"/>
      <c r="AC38" s="2924"/>
      <c r="AD38" s="2924"/>
    </row>
    <row r="39" spans="1:30">
      <c r="A39" s="2924"/>
      <c r="B39" s="2924"/>
      <c r="C39" s="2924"/>
      <c r="D39" s="2924"/>
      <c r="E39" s="2924"/>
      <c r="F39" s="2924"/>
      <c r="G39" s="2924"/>
      <c r="H39" s="2924"/>
      <c r="I39" s="2924"/>
      <c r="J39" s="2924"/>
      <c r="K39" s="2929"/>
      <c r="L39" s="2925"/>
      <c r="M39" s="2924"/>
      <c r="N39" s="2924"/>
      <c r="O39" s="2924"/>
      <c r="P39" s="2924"/>
      <c r="Q39" s="2924"/>
      <c r="R39" s="2924"/>
      <c r="S39" s="2924"/>
      <c r="T39" s="2924"/>
      <c r="U39" s="2924"/>
      <c r="V39" s="2924"/>
      <c r="W39" s="2924"/>
      <c r="X39" s="2924"/>
      <c r="Y39" s="2924"/>
      <c r="Z39" s="2924"/>
      <c r="AA39" s="2924"/>
      <c r="AB39" s="2924"/>
      <c r="AC39" s="2924"/>
      <c r="AD39" s="2924"/>
    </row>
    <row r="40" spans="1:30" ht="13.5" customHeight="1">
      <c r="A40" s="2924"/>
      <c r="B40" s="2924"/>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9"/>
      <c r="L40" s="2925"/>
      <c r="M40" s="2924"/>
      <c r="N40" s="2924"/>
      <c r="O40" s="2924"/>
      <c r="P40" s="2924"/>
      <c r="Q40" s="2924"/>
      <c r="R40" s="2924"/>
      <c r="S40" s="2924"/>
      <c r="T40" s="2924"/>
      <c r="U40" s="2924"/>
      <c r="V40" s="2924"/>
      <c r="W40" s="2924"/>
      <c r="X40" s="2924"/>
      <c r="Y40" s="2924"/>
      <c r="Z40" s="2924"/>
      <c r="AA40" s="2924"/>
      <c r="AB40" s="2924"/>
      <c r="AC40" s="2924"/>
      <c r="AD40" s="2924"/>
    </row>
    <row r="41" spans="1:30" ht="13.5" customHeight="1">
      <c r="A41" s="2924"/>
      <c r="B41" s="2924"/>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9"/>
      <c r="L41" s="2925"/>
      <c r="M41" s="2924"/>
      <c r="N41" s="2924"/>
      <c r="O41" s="2924"/>
      <c r="P41" s="2924"/>
      <c r="Q41" s="2924"/>
      <c r="R41" s="2924"/>
      <c r="S41" s="2924"/>
      <c r="T41" s="2924"/>
      <c r="U41" s="2924"/>
      <c r="V41" s="2924"/>
      <c r="W41" s="2924"/>
      <c r="X41" s="2924"/>
      <c r="Y41" s="2924"/>
      <c r="Z41" s="2924"/>
      <c r="AA41" s="2924"/>
      <c r="AB41" s="2924"/>
      <c r="AC41" s="2924"/>
      <c r="AD41" s="2924"/>
    </row>
    <row r="42" spans="1:30" s="459" customFormat="1" ht="13.5" customHeight="1">
      <c r="A42" s="2927"/>
      <c r="B42" s="2927"/>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2"/>
      <c r="L42" s="2926"/>
      <c r="M42" s="2927"/>
      <c r="N42" s="2927"/>
      <c r="O42" s="2927"/>
      <c r="P42" s="2927"/>
      <c r="Q42" s="2927"/>
      <c r="R42" s="2927"/>
      <c r="S42" s="2927"/>
      <c r="T42" s="2927"/>
      <c r="U42" s="2927"/>
      <c r="V42" s="2927"/>
      <c r="W42" s="2927"/>
      <c r="X42" s="2927"/>
      <c r="Y42" s="2927"/>
      <c r="Z42" s="2927"/>
      <c r="AA42" s="2927"/>
      <c r="AB42" s="2927"/>
      <c r="AC42" s="2927"/>
      <c r="AD42" s="2927"/>
    </row>
    <row r="43" spans="1:30" s="459" customFormat="1">
      <c r="A43" s="2927"/>
      <c r="B43" s="2930"/>
      <c r="C43" s="2931"/>
      <c r="D43" s="2927"/>
      <c r="E43" s="2927"/>
      <c r="F43" s="2927"/>
      <c r="G43" s="2927"/>
      <c r="H43" s="2927"/>
      <c r="I43" s="2927"/>
      <c r="J43" s="2927"/>
      <c r="K43" s="2932"/>
      <c r="L43" s="2926"/>
      <c r="M43" s="2927"/>
      <c r="N43" s="2927"/>
      <c r="O43" s="2927"/>
      <c r="P43" s="2927"/>
      <c r="Q43" s="2927"/>
      <c r="R43" s="2927"/>
      <c r="S43" s="2927"/>
      <c r="T43" s="2927"/>
      <c r="U43" s="2927"/>
      <c r="V43" s="2927"/>
      <c r="W43" s="2927"/>
      <c r="X43" s="2927"/>
      <c r="Y43" s="2927"/>
      <c r="Z43" s="2927"/>
      <c r="AA43" s="2927"/>
      <c r="AB43" s="2927"/>
      <c r="AC43" s="2927"/>
      <c r="AD43" s="2927"/>
    </row>
    <row r="44" spans="1:30">
      <c r="A44" s="2924"/>
      <c r="B44" s="2930"/>
      <c r="C44" s="2931"/>
      <c r="D44" s="2924"/>
      <c r="E44" s="2924"/>
      <c r="F44" s="2924"/>
      <c r="G44" s="2924"/>
      <c r="H44" s="2924"/>
      <c r="I44" s="2924"/>
      <c r="J44" s="2924"/>
      <c r="K44" s="2929"/>
      <c r="L44" s="2925"/>
      <c r="M44" s="2924"/>
      <c r="N44" s="2924"/>
      <c r="O44" s="2924"/>
      <c r="P44" s="2924"/>
      <c r="Q44" s="2924"/>
      <c r="R44" s="2924"/>
      <c r="S44" s="2924"/>
      <c r="T44" s="2924"/>
      <c r="U44" s="2924"/>
      <c r="V44" s="2924"/>
      <c r="W44" s="2924"/>
      <c r="X44" s="2924"/>
      <c r="Y44" s="2924"/>
      <c r="Z44" s="2924"/>
      <c r="AA44" s="2924"/>
      <c r="AB44" s="2924"/>
      <c r="AC44" s="2924"/>
      <c r="AD44" s="2924"/>
    </row>
    <row r="45" spans="1:30" ht="21.75" thickBot="1">
      <c r="A45" s="703" t="s">
        <v>2435</v>
      </c>
      <c r="B45" s="699"/>
      <c r="C45" s="704"/>
      <c r="D45" s="704"/>
      <c r="E45" s="704"/>
      <c r="F45" s="705"/>
      <c r="G45" s="705"/>
      <c r="H45" s="704"/>
      <c r="I45" s="704"/>
      <c r="J45" s="704"/>
      <c r="K45" s="706"/>
      <c r="L45" s="707"/>
      <c r="M45" s="704"/>
      <c r="N45" s="2968"/>
      <c r="O45" s="2968"/>
      <c r="P45" s="2968"/>
      <c r="Q45" s="2938"/>
      <c r="R45" s="2924"/>
      <c r="S45" s="2924"/>
      <c r="T45" s="2924"/>
      <c r="U45" s="2924"/>
      <c r="V45" s="2924"/>
      <c r="W45" s="2924"/>
      <c r="X45" s="2924"/>
      <c r="Y45" s="2924"/>
      <c r="Z45" s="2924"/>
      <c r="AA45" s="2924"/>
      <c r="AB45" s="2924"/>
      <c r="AC45" s="2924"/>
      <c r="AD45" s="2924"/>
    </row>
    <row r="46" spans="1:30" s="465" customFormat="1" ht="15">
      <c r="A46" s="462" t="s">
        <v>2309</v>
      </c>
      <c r="B46" s="463"/>
      <c r="C46" s="1318" t="str">
        <f>YEAR(C7)&amp;"-"&amp;MONTH(C7)</f>
        <v>2021-12</v>
      </c>
      <c r="D46" s="1319">
        <f>EDATE(C46,-1)</f>
        <v>44501</v>
      </c>
      <c r="E46" s="1319">
        <f t="shared" ref="E46:O46" si="16">EDATE(D46,-1)</f>
        <v>44470</v>
      </c>
      <c r="F46" s="1319">
        <f t="shared" si="16"/>
        <v>44440</v>
      </c>
      <c r="G46" s="1319">
        <f t="shared" si="16"/>
        <v>44409</v>
      </c>
      <c r="H46" s="1319">
        <f t="shared" si="16"/>
        <v>44378</v>
      </c>
      <c r="I46" s="1319">
        <f t="shared" si="16"/>
        <v>44348</v>
      </c>
      <c r="J46" s="1319">
        <f t="shared" si="16"/>
        <v>44317</v>
      </c>
      <c r="K46" s="1319">
        <f t="shared" si="16"/>
        <v>44287</v>
      </c>
      <c r="L46" s="1319">
        <f t="shared" si="16"/>
        <v>44256</v>
      </c>
      <c r="M46" s="1319">
        <f t="shared" si="16"/>
        <v>44228</v>
      </c>
      <c r="N46" s="1319">
        <f t="shared" si="16"/>
        <v>44197</v>
      </c>
      <c r="O46" s="1319">
        <f t="shared" si="16"/>
        <v>44166</v>
      </c>
      <c r="P46" s="2975"/>
      <c r="Q46" s="2940"/>
      <c r="R46" s="2940"/>
      <c r="S46" s="2940"/>
      <c r="T46" s="2940"/>
      <c r="U46" s="2940"/>
      <c r="V46" s="2940"/>
      <c r="W46" s="2940"/>
      <c r="X46" s="2940"/>
      <c r="Y46" s="2940"/>
      <c r="Z46" s="2940"/>
      <c r="AA46" s="2940"/>
      <c r="AB46" s="2940"/>
      <c r="AC46" s="2940"/>
      <c r="AD46" s="2940"/>
    </row>
    <row r="47" spans="1:30" s="113" customFormat="1" ht="15">
      <c r="A47" s="466"/>
      <c r="B47" s="467"/>
      <c r="C47" s="1317">
        <v>100</v>
      </c>
      <c r="D47" s="469"/>
      <c r="E47" s="469"/>
      <c r="F47" s="469"/>
      <c r="G47" s="469"/>
      <c r="H47" s="469"/>
      <c r="I47" s="469"/>
      <c r="J47" s="469"/>
      <c r="K47" s="469"/>
      <c r="L47" s="469"/>
      <c r="M47" s="470"/>
      <c r="N47" s="469"/>
      <c r="O47" s="471"/>
      <c r="P47" s="2938"/>
      <c r="Q47" s="2858"/>
      <c r="R47" s="2858"/>
      <c r="S47" s="2858"/>
      <c r="T47" s="2858"/>
      <c r="U47" s="2858"/>
      <c r="V47" s="2858"/>
      <c r="W47" s="2858"/>
      <c r="X47" s="2858"/>
      <c r="Y47" s="2858"/>
      <c r="Z47" s="2858"/>
      <c r="AA47" s="2858"/>
      <c r="AB47" s="2858"/>
      <c r="AC47" s="2858"/>
      <c r="AD47" s="2858"/>
    </row>
    <row r="48" spans="1:30" s="113" customFormat="1" ht="15.75" thickBot="1">
      <c r="A48" s="472" t="s">
        <v>2346</v>
      </c>
      <c r="B48" s="473"/>
      <c r="C48" s="474"/>
      <c r="D48" s="475"/>
      <c r="E48" s="475"/>
      <c r="F48" s="475"/>
      <c r="G48" s="475"/>
      <c r="H48" s="475"/>
      <c r="I48" s="475"/>
      <c r="J48" s="475"/>
      <c r="K48" s="475"/>
      <c r="L48" s="475"/>
      <c r="M48" s="476"/>
      <c r="N48" s="475"/>
      <c r="O48" s="477"/>
      <c r="P48" s="2938"/>
      <c r="Q48" s="2938"/>
      <c r="R48" s="2858"/>
      <c r="S48" s="2858"/>
      <c r="T48" s="2858"/>
      <c r="U48" s="2858"/>
      <c r="V48" s="2858"/>
      <c r="W48" s="2858"/>
      <c r="X48" s="2858"/>
      <c r="Y48" s="2858"/>
      <c r="Z48" s="2858"/>
      <c r="AA48" s="2858"/>
      <c r="AB48" s="2858"/>
      <c r="AC48" s="2858"/>
      <c r="AD48" s="2858"/>
    </row>
    <row r="49" spans="1:30" s="113" customFormat="1" ht="15">
      <c r="A49" s="478" t="s">
        <v>2311</v>
      </c>
      <c r="B49" s="467"/>
      <c r="C49" s="479" t="s">
        <v>2413</v>
      </c>
      <c r="D49" s="480"/>
      <c r="E49" s="480"/>
      <c r="F49" s="480"/>
      <c r="G49" s="480"/>
      <c r="H49" s="480"/>
      <c r="I49" s="480"/>
      <c r="J49" s="480"/>
      <c r="K49" s="480"/>
      <c r="L49" s="481"/>
      <c r="M49" s="482"/>
      <c r="N49" s="2951"/>
      <c r="O49" s="2951"/>
      <c r="P49" s="2976"/>
      <c r="Q49" s="2938"/>
      <c r="R49" s="2858"/>
      <c r="S49" s="2858"/>
      <c r="T49" s="2858"/>
      <c r="U49" s="2858"/>
      <c r="V49" s="2858"/>
      <c r="W49" s="2858"/>
      <c r="X49" s="2858"/>
      <c r="Y49" s="2858"/>
      <c r="Z49" s="2858"/>
      <c r="AA49" s="2858"/>
      <c r="AB49" s="2858"/>
      <c r="AC49" s="2858"/>
      <c r="AD49" s="2858"/>
    </row>
    <row r="50" spans="1:30" s="113" customFormat="1" ht="15.75" thickBot="1">
      <c r="A50" s="478"/>
      <c r="B50" s="467"/>
      <c r="C50" s="595">
        <v>100</v>
      </c>
      <c r="D50" s="469"/>
      <c r="E50" s="469"/>
      <c r="F50" s="469"/>
      <c r="G50" s="469"/>
      <c r="H50" s="469"/>
      <c r="I50" s="469"/>
      <c r="J50" s="469"/>
      <c r="K50" s="469"/>
      <c r="L50" s="469"/>
      <c r="M50" s="471"/>
      <c r="N50" s="2951"/>
      <c r="O50" s="2951"/>
      <c r="P50" s="2938"/>
      <c r="Q50" s="2938"/>
      <c r="R50" s="2858"/>
      <c r="S50" s="2858"/>
      <c r="T50" s="2858"/>
      <c r="U50" s="2858"/>
      <c r="V50" s="2858"/>
      <c r="W50" s="2858"/>
      <c r="X50" s="2858"/>
      <c r="Y50" s="2858"/>
      <c r="Z50" s="2858"/>
      <c r="AA50" s="2858"/>
      <c r="AB50" s="2858"/>
      <c r="AC50" s="2858"/>
      <c r="AD50" s="2858"/>
    </row>
    <row r="51" spans="1:30">
      <c r="A51" s="484" t="s">
        <v>2349</v>
      </c>
      <c r="B51" s="485" t="s">
        <v>2315</v>
      </c>
      <c r="C51" s="486">
        <f>C9</f>
        <v>0</v>
      </c>
      <c r="D51" s="487"/>
      <c r="E51" s="487"/>
      <c r="F51" s="487"/>
      <c r="G51" s="487"/>
      <c r="H51" s="487"/>
      <c r="I51" s="487"/>
      <c r="J51" s="487"/>
      <c r="K51" s="488"/>
      <c r="L51" s="489"/>
      <c r="M51" s="490"/>
      <c r="N51" s="2952"/>
      <c r="O51" s="2952"/>
      <c r="P51" s="2977"/>
      <c r="Q51" s="2938"/>
      <c r="R51" s="2924"/>
      <c r="S51" s="2924"/>
      <c r="T51" s="2924"/>
      <c r="U51" s="2924"/>
      <c r="V51" s="2924"/>
      <c r="W51" s="2924"/>
      <c r="X51" s="2924"/>
      <c r="Y51" s="2924"/>
      <c r="Z51" s="2924"/>
      <c r="AA51" s="2924"/>
      <c r="AB51" s="2924"/>
      <c r="AC51" s="2924"/>
      <c r="AD51" s="2924"/>
    </row>
    <row r="52" spans="1:30" ht="15.75" thickBot="1">
      <c r="A52" s="491"/>
      <c r="B52" s="492"/>
      <c r="C52" s="493">
        <v>100</v>
      </c>
      <c r="D52" s="493"/>
      <c r="E52" s="493"/>
      <c r="F52" s="493"/>
      <c r="G52" s="493"/>
      <c r="H52" s="493"/>
      <c r="I52" s="493"/>
      <c r="J52" s="493"/>
      <c r="K52" s="493"/>
      <c r="L52" s="493"/>
      <c r="M52" s="494"/>
      <c r="N52" s="2953"/>
      <c r="O52" s="2953"/>
      <c r="P52" s="2977"/>
      <c r="Q52" s="2938"/>
      <c r="R52" s="2924"/>
      <c r="S52" s="2924"/>
      <c r="T52" s="2924"/>
      <c r="U52" s="2924"/>
      <c r="V52" s="2924"/>
      <c r="W52" s="2924"/>
      <c r="X52" s="2924"/>
      <c r="Y52" s="2924"/>
      <c r="Z52" s="2924"/>
      <c r="AA52" s="2924"/>
      <c r="AB52" s="2924"/>
      <c r="AC52" s="2924"/>
      <c r="AD52" s="2924"/>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2"/>
      <c r="O53" s="2952"/>
      <c r="P53" s="2977"/>
      <c r="Q53" s="2938"/>
      <c r="R53" s="2924"/>
      <c r="S53" s="2924"/>
      <c r="T53" s="2924"/>
      <c r="U53" s="2924"/>
      <c r="V53" s="2924"/>
      <c r="W53" s="2924"/>
      <c r="X53" s="2924"/>
      <c r="Y53" s="2924"/>
      <c r="Z53" s="2924"/>
      <c r="AA53" s="2924"/>
      <c r="AB53" s="2924"/>
      <c r="AC53" s="2924"/>
      <c r="AD53" s="292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3"/>
      <c r="O54" s="2953"/>
      <c r="P54" s="2977"/>
      <c r="Q54" s="2938"/>
      <c r="R54" s="2924"/>
      <c r="S54" s="2924"/>
      <c r="T54" s="2924"/>
      <c r="U54" s="2924"/>
      <c r="V54" s="2924"/>
      <c r="W54" s="2924"/>
      <c r="X54" s="2924"/>
      <c r="Y54" s="2924"/>
      <c r="Z54" s="2924"/>
      <c r="AA54" s="2924"/>
      <c r="AB54" s="2924"/>
      <c r="AC54" s="2924"/>
      <c r="AD54" s="2924"/>
    </row>
    <row r="55" spans="1:30" ht="15.75" thickTop="1">
      <c r="A55" s="491"/>
      <c r="B55" s="616">
        <f>B11</f>
        <v>111</v>
      </c>
      <c r="C55" s="506"/>
      <c r="D55" s="506"/>
      <c r="E55" s="506"/>
      <c r="F55" s="506"/>
      <c r="G55" s="506"/>
      <c r="H55" s="506"/>
      <c r="I55" s="506"/>
      <c r="J55" s="506"/>
      <c r="K55" s="507"/>
      <c r="L55" s="508"/>
      <c r="M55" s="509"/>
      <c r="N55" s="2952"/>
      <c r="O55" s="2952"/>
      <c r="P55" s="2977"/>
      <c r="Q55" s="2938"/>
      <c r="R55" s="2924"/>
      <c r="S55" s="2924"/>
      <c r="T55" s="2924"/>
      <c r="U55" s="2924"/>
      <c r="V55" s="2924"/>
      <c r="W55" s="2924"/>
      <c r="X55" s="2924"/>
      <c r="Y55" s="2924"/>
      <c r="Z55" s="2924"/>
      <c r="AA55" s="2924"/>
      <c r="AB55" s="2924"/>
      <c r="AC55" s="2924"/>
      <c r="AD55" s="2924"/>
    </row>
    <row r="56" spans="1:30" ht="15.75" thickBot="1">
      <c r="A56" s="491"/>
      <c r="B56" s="492"/>
      <c r="C56" s="517"/>
      <c r="D56" s="493"/>
      <c r="E56" s="493"/>
      <c r="F56" s="493"/>
      <c r="G56" s="493"/>
      <c r="H56" s="493"/>
      <c r="I56" s="493"/>
      <c r="J56" s="493"/>
      <c r="K56" s="493"/>
      <c r="L56" s="493"/>
      <c r="M56" s="494"/>
      <c r="N56" s="2953"/>
      <c r="O56" s="2953"/>
      <c r="P56" s="2977"/>
      <c r="Q56" s="2938"/>
      <c r="R56" s="2924"/>
      <c r="S56" s="2924"/>
      <c r="T56" s="2924"/>
      <c r="U56" s="2924"/>
      <c r="V56" s="2924"/>
      <c r="W56" s="2924"/>
      <c r="X56" s="2924"/>
      <c r="Y56" s="2924"/>
      <c r="Z56" s="2924"/>
      <c r="AA56" s="2924"/>
      <c r="AB56" s="2924"/>
      <c r="AC56" s="2924"/>
      <c r="AD56" s="2924"/>
    </row>
    <row r="57" spans="1:30" s="430" customFormat="1" ht="15.75" thickTop="1">
      <c r="A57" s="510"/>
      <c r="B57" s="495">
        <f>B12</f>
        <v>111</v>
      </c>
      <c r="C57" s="506"/>
      <c r="D57" s="506"/>
      <c r="E57" s="506"/>
      <c r="F57" s="506"/>
      <c r="G57" s="511"/>
      <c r="H57" s="512"/>
      <c r="I57" s="512"/>
      <c r="J57" s="512"/>
      <c r="K57" s="512"/>
      <c r="L57" s="513"/>
      <c r="M57" s="514"/>
      <c r="N57" s="2954"/>
      <c r="O57" s="2954"/>
      <c r="P57" s="2978"/>
      <c r="Q57" s="2945"/>
      <c r="R57" s="2946"/>
      <c r="S57" s="2946"/>
      <c r="T57" s="2946"/>
      <c r="U57" s="2946"/>
      <c r="V57" s="2946"/>
      <c r="W57" s="2946"/>
      <c r="X57" s="2946"/>
      <c r="Y57" s="2946"/>
      <c r="Z57" s="2946"/>
      <c r="AA57" s="2946"/>
      <c r="AB57" s="2946"/>
      <c r="AC57" s="2946"/>
      <c r="AD57" s="2946"/>
    </row>
    <row r="58" spans="1:30" s="430" customFormat="1" ht="15.75" thickBot="1">
      <c r="A58" s="510"/>
      <c r="B58" s="500"/>
      <c r="C58" s="517"/>
      <c r="D58" s="493"/>
      <c r="E58" s="493"/>
      <c r="F58" s="493"/>
      <c r="G58" s="493"/>
      <c r="H58" s="493"/>
      <c r="I58" s="493"/>
      <c r="J58" s="493"/>
      <c r="K58" s="493"/>
      <c r="L58" s="493"/>
      <c r="M58" s="494"/>
      <c r="N58" s="2953"/>
      <c r="O58" s="2953"/>
      <c r="P58" s="2978"/>
      <c r="Q58" s="2945"/>
      <c r="R58" s="2946"/>
      <c r="S58" s="2946"/>
      <c r="T58" s="2946"/>
      <c r="U58" s="2946"/>
      <c r="V58" s="2946"/>
      <c r="W58" s="2946"/>
      <c r="X58" s="2946"/>
      <c r="Y58" s="2946"/>
      <c r="Z58" s="2946"/>
      <c r="AA58" s="2946"/>
      <c r="AB58" s="2946"/>
      <c r="AC58" s="2946"/>
      <c r="AD58" s="2946"/>
    </row>
    <row r="59" spans="1:30" s="430" customFormat="1" ht="15.75" thickTop="1">
      <c r="A59" s="510"/>
      <c r="B59" s="495">
        <f>B13</f>
        <v>111</v>
      </c>
      <c r="C59" s="506"/>
      <c r="D59" s="506"/>
      <c r="E59" s="506"/>
      <c r="F59" s="506"/>
      <c r="G59" s="511"/>
      <c r="H59" s="512"/>
      <c r="I59" s="512"/>
      <c r="J59" s="512"/>
      <c r="K59" s="512"/>
      <c r="L59" s="513"/>
      <c r="M59" s="514"/>
      <c r="N59" s="2954"/>
      <c r="O59" s="2954"/>
      <c r="P59" s="2922"/>
      <c r="Q59" s="2948"/>
      <c r="R59" s="2946"/>
      <c r="S59" s="2946"/>
      <c r="T59" s="2946"/>
      <c r="U59" s="2946"/>
      <c r="V59" s="2946"/>
      <c r="W59" s="2946"/>
      <c r="X59" s="2946"/>
      <c r="Y59" s="2946"/>
      <c r="Z59" s="2946"/>
      <c r="AA59" s="2946"/>
      <c r="AB59" s="2946"/>
      <c r="AC59" s="2946"/>
      <c r="AD59" s="2946"/>
    </row>
    <row r="60" spans="1:30" s="430" customFormat="1" ht="15.75" thickBot="1">
      <c r="A60" s="510"/>
      <c r="B60" s="500"/>
      <c r="C60" s="517"/>
      <c r="D60" s="517"/>
      <c r="E60" s="517"/>
      <c r="F60" s="517"/>
      <c r="G60" s="517"/>
      <c r="H60" s="519"/>
      <c r="I60" s="519"/>
      <c r="J60" s="519"/>
      <c r="K60" s="519"/>
      <c r="L60" s="519"/>
      <c r="M60" s="520"/>
      <c r="N60" s="2954"/>
      <c r="O60" s="2954"/>
      <c r="P60" s="2978"/>
      <c r="Q60" s="2945"/>
      <c r="R60" s="2946"/>
      <c r="S60" s="2946"/>
      <c r="T60" s="2946"/>
      <c r="U60" s="2946"/>
      <c r="V60" s="2946"/>
      <c r="W60" s="2946"/>
      <c r="X60" s="2946"/>
      <c r="Y60" s="2946"/>
      <c r="Z60" s="2946"/>
      <c r="AA60" s="2946"/>
      <c r="AB60" s="2946"/>
      <c r="AC60" s="2946"/>
      <c r="AD60" s="2946"/>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2"/>
      <c r="O61" s="2952"/>
      <c r="P61" s="2979"/>
      <c r="Q61" s="2938"/>
      <c r="R61" s="2924"/>
      <c r="S61" s="2924"/>
      <c r="T61" s="2924"/>
      <c r="U61" s="2924"/>
      <c r="V61" s="2924"/>
      <c r="W61" s="2924"/>
      <c r="X61" s="2924"/>
      <c r="Y61" s="2924"/>
      <c r="Z61" s="2924"/>
      <c r="AA61" s="2924"/>
      <c r="AB61" s="2924"/>
      <c r="AC61" s="2924"/>
      <c r="AD61" s="292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3"/>
      <c r="O62" s="2953"/>
      <c r="P62" s="2977"/>
      <c r="Q62" s="2938"/>
      <c r="R62" s="2924"/>
      <c r="S62" s="2924"/>
      <c r="T62" s="2924"/>
      <c r="U62" s="2924"/>
      <c r="V62" s="2924"/>
      <c r="W62" s="2924"/>
      <c r="X62" s="2924"/>
      <c r="Y62" s="2924"/>
      <c r="Z62" s="2924"/>
      <c r="AA62" s="2924"/>
      <c r="AB62" s="2924"/>
      <c r="AC62" s="2924"/>
      <c r="AD62" s="2924"/>
    </row>
    <row r="63" spans="1:30" ht="27.75" thickTop="1">
      <c r="A63" s="491"/>
      <c r="B63" s="495" t="s">
        <v>2501</v>
      </c>
      <c r="C63" s="535" t="s">
        <v>2358</v>
      </c>
      <c r="D63" s="535" t="s">
        <v>2359</v>
      </c>
      <c r="E63" s="535" t="s">
        <v>2360</v>
      </c>
      <c r="F63" s="535" t="s">
        <v>2361</v>
      </c>
      <c r="G63" s="535" t="s">
        <v>2362</v>
      </c>
      <c r="H63" s="496"/>
      <c r="I63" s="496"/>
      <c r="J63" s="496"/>
      <c r="K63" s="497"/>
      <c r="L63" s="498"/>
      <c r="M63" s="499"/>
      <c r="N63" s="2952"/>
      <c r="O63" s="2952"/>
      <c r="P63" s="2977"/>
      <c r="Q63" s="2938"/>
      <c r="R63" s="2924"/>
      <c r="S63" s="2924"/>
      <c r="T63" s="2924"/>
      <c r="U63" s="2924"/>
      <c r="V63" s="2924"/>
      <c r="W63" s="2924"/>
      <c r="X63" s="2924"/>
      <c r="Y63" s="2924"/>
      <c r="Z63" s="2924"/>
      <c r="AA63" s="2924"/>
      <c r="AB63" s="2924"/>
      <c r="AC63" s="2924"/>
      <c r="AD63" s="292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3"/>
      <c r="O64" s="2953"/>
      <c r="P64" s="2977"/>
      <c r="Q64" s="2938"/>
      <c r="R64" s="2924"/>
      <c r="S64" s="2924"/>
      <c r="T64" s="2924"/>
      <c r="U64" s="2924"/>
      <c r="V64" s="2924"/>
      <c r="W64" s="2924"/>
      <c r="X64" s="2924"/>
      <c r="Y64" s="2924"/>
      <c r="Z64" s="2924"/>
      <c r="AA64" s="2924"/>
      <c r="AB64" s="2924"/>
      <c r="AC64" s="2924"/>
      <c r="AD64" s="2924"/>
    </row>
    <row r="65" spans="1:30" ht="15.75" thickTop="1">
      <c r="A65" s="491"/>
      <c r="B65" s="503" t="s">
        <v>2450</v>
      </c>
      <c r="C65" s="616" t="s">
        <v>2436</v>
      </c>
      <c r="D65" s="616" t="s">
        <v>2437</v>
      </c>
      <c r="E65" s="616" t="s">
        <v>2438</v>
      </c>
      <c r="F65" s="616" t="s">
        <v>2439</v>
      </c>
      <c r="G65" s="616" t="s">
        <v>2440</v>
      </c>
      <c r="H65" s="496"/>
      <c r="I65" s="496"/>
      <c r="J65" s="496"/>
      <c r="K65" s="496"/>
      <c r="L65" s="496"/>
      <c r="M65" s="1263"/>
      <c r="N65" s="2953"/>
      <c r="O65" s="2953"/>
      <c r="P65" s="2977"/>
      <c r="Q65" s="2938"/>
      <c r="R65" s="2924"/>
      <c r="S65" s="2924"/>
      <c r="T65" s="2924"/>
      <c r="U65" s="2924"/>
      <c r="V65" s="2924"/>
      <c r="W65" s="2924"/>
      <c r="X65" s="2924"/>
      <c r="Y65" s="2924"/>
      <c r="Z65" s="2924"/>
      <c r="AA65" s="2924"/>
      <c r="AB65" s="2924"/>
      <c r="AC65" s="2924"/>
      <c r="AD65" s="292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3"/>
      <c r="O66" s="2953"/>
      <c r="P66" s="2977"/>
      <c r="Q66" s="2938"/>
      <c r="R66" s="2924"/>
      <c r="S66" s="2924"/>
      <c r="T66" s="2924"/>
      <c r="U66" s="2924"/>
      <c r="V66" s="2924"/>
      <c r="W66" s="2924"/>
      <c r="X66" s="2924"/>
      <c r="Y66" s="2924"/>
      <c r="Z66" s="2924"/>
      <c r="AA66" s="2924"/>
      <c r="AB66" s="2924"/>
      <c r="AC66" s="2924"/>
      <c r="AD66" s="2924"/>
    </row>
    <row r="67" spans="1:30" ht="15.75" thickTop="1">
      <c r="A67" s="491"/>
      <c r="B67" s="495" t="s">
        <v>2370</v>
      </c>
      <c r="C67" s="535" t="s">
        <v>2358</v>
      </c>
      <c r="D67" s="535" t="s">
        <v>2359</v>
      </c>
      <c r="E67" s="535" t="s">
        <v>2360</v>
      </c>
      <c r="F67" s="535" t="s">
        <v>2361</v>
      </c>
      <c r="G67" s="535" t="s">
        <v>2362</v>
      </c>
      <c r="H67" s="496"/>
      <c r="I67" s="496"/>
      <c r="J67" s="496"/>
      <c r="K67" s="497"/>
      <c r="L67" s="498"/>
      <c r="M67" s="499"/>
      <c r="N67" s="2952"/>
      <c r="O67" s="2952"/>
      <c r="P67" s="2977"/>
      <c r="Q67" s="2938"/>
      <c r="R67" s="2924"/>
      <c r="S67" s="2924"/>
      <c r="T67" s="2924"/>
      <c r="U67" s="2924"/>
      <c r="V67" s="2924"/>
      <c r="W67" s="2924"/>
      <c r="X67" s="2924"/>
      <c r="Y67" s="2924"/>
      <c r="Z67" s="2924"/>
      <c r="AA67" s="2924"/>
      <c r="AB67" s="2924"/>
      <c r="AC67" s="2924"/>
      <c r="AD67" s="292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3"/>
      <c r="O68" s="2953"/>
      <c r="P68" s="2977"/>
      <c r="Q68" s="2938"/>
      <c r="R68" s="2924"/>
      <c r="S68" s="2924"/>
      <c r="T68" s="2924"/>
      <c r="U68" s="2924"/>
      <c r="V68" s="2924"/>
      <c r="W68" s="2924"/>
      <c r="X68" s="2924"/>
      <c r="Y68" s="2924"/>
      <c r="Z68" s="2924"/>
      <c r="AA68" s="2924"/>
      <c r="AB68" s="2924"/>
      <c r="AC68" s="2924"/>
      <c r="AD68" s="2924"/>
    </row>
    <row r="69" spans="1:30" ht="15.75" thickTop="1">
      <c r="A69" s="491"/>
      <c r="B69" s="495" t="s">
        <v>2490</v>
      </c>
      <c r="C69" s="511"/>
      <c r="D69" s="511"/>
      <c r="E69" s="511"/>
      <c r="F69" s="511"/>
      <c r="G69" s="511"/>
      <c r="H69" s="540"/>
      <c r="I69" s="540"/>
      <c r="J69" s="540"/>
      <c r="K69" s="541"/>
      <c r="L69" s="542"/>
      <c r="M69" s="543"/>
      <c r="N69" s="2952"/>
      <c r="O69" s="2952"/>
      <c r="P69" s="2977"/>
      <c r="Q69" s="2938"/>
      <c r="R69" s="2924"/>
      <c r="S69" s="2924"/>
      <c r="T69" s="2924"/>
      <c r="U69" s="2924"/>
      <c r="V69" s="2924"/>
      <c r="W69" s="2924"/>
      <c r="X69" s="2924"/>
      <c r="Y69" s="2924"/>
      <c r="Z69" s="2924"/>
      <c r="AA69" s="2924"/>
      <c r="AB69" s="2924"/>
      <c r="AC69" s="2924"/>
      <c r="AD69" s="2924"/>
    </row>
    <row r="70" spans="1:30" ht="15.75" thickBot="1">
      <c r="A70" s="491"/>
      <c r="B70" s="500"/>
      <c r="C70" s="501">
        <v>100</v>
      </c>
      <c r="D70" s="501">
        <f>C70-$K22</f>
        <v>100</v>
      </c>
      <c r="E70" s="501"/>
      <c r="F70" s="501"/>
      <c r="G70" s="501"/>
      <c r="H70" s="501"/>
      <c r="I70" s="501"/>
      <c r="J70" s="501"/>
      <c r="K70" s="501"/>
      <c r="L70" s="501"/>
      <c r="M70" s="502"/>
      <c r="N70" s="2953"/>
      <c r="O70" s="2953"/>
      <c r="P70" s="2977"/>
      <c r="Q70" s="2938"/>
      <c r="R70" s="2924"/>
      <c r="S70" s="2924"/>
      <c r="T70" s="2924"/>
      <c r="U70" s="2924"/>
      <c r="V70" s="2924"/>
      <c r="W70" s="2924"/>
      <c r="X70" s="2924"/>
      <c r="Y70" s="2924"/>
      <c r="Z70" s="2924"/>
      <c r="AA70" s="2924"/>
      <c r="AB70" s="2924"/>
      <c r="AC70" s="2924"/>
      <c r="AD70" s="2924"/>
    </row>
    <row r="71" spans="1:30" s="113" customFormat="1" ht="15.75" thickTop="1">
      <c r="A71" s="536"/>
      <c r="B71" s="495">
        <f>B23</f>
        <v>111</v>
      </c>
      <c r="C71" s="506"/>
      <c r="D71" s="506"/>
      <c r="E71" s="506"/>
      <c r="F71" s="506"/>
      <c r="G71" s="511"/>
      <c r="H71" s="511"/>
      <c r="I71" s="511"/>
      <c r="J71" s="511"/>
      <c r="K71" s="511"/>
      <c r="L71" s="537"/>
      <c r="M71" s="538"/>
      <c r="N71" s="2951"/>
      <c r="O71" s="2951"/>
      <c r="P71" s="2977"/>
      <c r="Q71" s="2938"/>
      <c r="R71" s="2858"/>
      <c r="S71" s="2858"/>
      <c r="T71" s="2858"/>
      <c r="U71" s="2858"/>
      <c r="V71" s="2858"/>
      <c r="W71" s="2858"/>
      <c r="X71" s="2858"/>
      <c r="Y71" s="2858"/>
      <c r="Z71" s="2858"/>
      <c r="AA71" s="2858"/>
      <c r="AB71" s="2858"/>
      <c r="AC71" s="2858"/>
      <c r="AD71" s="2858"/>
    </row>
    <row r="72" spans="1:30" s="113" customFormat="1" ht="15.75" thickBot="1">
      <c r="A72" s="536"/>
      <c r="B72" s="500"/>
      <c r="C72" s="517"/>
      <c r="D72" s="493"/>
      <c r="E72" s="493"/>
      <c r="F72" s="493"/>
      <c r="G72" s="493"/>
      <c r="H72" s="493"/>
      <c r="I72" s="493"/>
      <c r="J72" s="493"/>
      <c r="K72" s="493"/>
      <c r="L72" s="493"/>
      <c r="M72" s="494"/>
      <c r="N72" s="2953"/>
      <c r="O72" s="2953"/>
      <c r="P72" s="2977"/>
      <c r="Q72" s="2938"/>
      <c r="R72" s="2858"/>
      <c r="S72" s="2858"/>
      <c r="T72" s="2858"/>
      <c r="U72" s="2858"/>
      <c r="V72" s="2858"/>
      <c r="W72" s="2858"/>
      <c r="X72" s="2858"/>
      <c r="Y72" s="2858"/>
      <c r="Z72" s="2858"/>
      <c r="AA72" s="2858"/>
      <c r="AB72" s="2858"/>
      <c r="AC72" s="2858"/>
      <c r="AD72" s="2858"/>
    </row>
    <row r="73" spans="1:30" s="113" customFormat="1" ht="15.75" thickTop="1">
      <c r="A73" s="536"/>
      <c r="B73" s="495">
        <f>B24</f>
        <v>111</v>
      </c>
      <c r="C73" s="506"/>
      <c r="D73" s="506"/>
      <c r="E73" s="506"/>
      <c r="F73" s="506"/>
      <c r="G73" s="511"/>
      <c r="H73" s="511"/>
      <c r="I73" s="511"/>
      <c r="J73" s="511"/>
      <c r="K73" s="511"/>
      <c r="L73" s="511"/>
      <c r="M73" s="538"/>
      <c r="N73" s="2951"/>
      <c r="O73" s="2951"/>
      <c r="P73" s="2977"/>
      <c r="Q73" s="2938"/>
      <c r="R73" s="2858"/>
      <c r="S73" s="2858"/>
      <c r="T73" s="2858"/>
      <c r="U73" s="2858"/>
      <c r="V73" s="2858"/>
      <c r="W73" s="2858"/>
      <c r="X73" s="2858"/>
      <c r="Y73" s="2858"/>
      <c r="Z73" s="2858"/>
      <c r="AA73" s="2858"/>
      <c r="AB73" s="2858"/>
      <c r="AC73" s="2858"/>
      <c r="AD73" s="2858"/>
    </row>
    <row r="74" spans="1:30" s="113" customFormat="1" ht="15.75" thickBot="1">
      <c r="A74" s="536"/>
      <c r="B74" s="500"/>
      <c r="C74" s="517"/>
      <c r="D74" s="493"/>
      <c r="E74" s="493"/>
      <c r="F74" s="493"/>
      <c r="G74" s="493"/>
      <c r="H74" s="493"/>
      <c r="I74" s="493"/>
      <c r="J74" s="493"/>
      <c r="K74" s="493"/>
      <c r="L74" s="493"/>
      <c r="M74" s="494"/>
      <c r="N74" s="2953"/>
      <c r="O74" s="2953"/>
      <c r="P74" s="2977"/>
      <c r="Q74" s="2938"/>
      <c r="R74" s="2858"/>
      <c r="S74" s="2858"/>
      <c r="T74" s="2858"/>
      <c r="U74" s="2858"/>
      <c r="V74" s="2858"/>
      <c r="W74" s="2858"/>
      <c r="X74" s="2858"/>
      <c r="Y74" s="2858"/>
      <c r="Z74" s="2858"/>
      <c r="AA74" s="2858"/>
      <c r="AB74" s="2858"/>
      <c r="AC74" s="2858"/>
      <c r="AD74" s="2858"/>
    </row>
    <row r="75" spans="1:30" s="430" customFormat="1" ht="15.75" thickTop="1">
      <c r="A75" s="510"/>
      <c r="B75" s="495">
        <f>B25</f>
        <v>111</v>
      </c>
      <c r="C75" s="506"/>
      <c r="D75" s="506"/>
      <c r="E75" s="506"/>
      <c r="F75" s="506"/>
      <c r="G75" s="511"/>
      <c r="H75" s="512"/>
      <c r="I75" s="512"/>
      <c r="J75" s="512"/>
      <c r="K75" s="512"/>
      <c r="L75" s="513"/>
      <c r="M75" s="514"/>
      <c r="N75" s="2954"/>
      <c r="O75" s="2954"/>
      <c r="P75" s="2978"/>
      <c r="Q75" s="2945"/>
      <c r="R75" s="2946"/>
      <c r="S75" s="2946"/>
      <c r="T75" s="2946"/>
      <c r="U75" s="2946"/>
      <c r="V75" s="2946"/>
      <c r="W75" s="2946"/>
      <c r="X75" s="2946"/>
      <c r="Y75" s="2946"/>
      <c r="Z75" s="2946"/>
      <c r="AA75" s="2946"/>
      <c r="AB75" s="2946"/>
      <c r="AC75" s="2946"/>
      <c r="AD75" s="2946"/>
    </row>
    <row r="76" spans="1:30" s="430" customFormat="1" ht="15.75" thickBot="1">
      <c r="A76" s="510"/>
      <c r="B76" s="500"/>
      <c r="C76" s="517"/>
      <c r="D76" s="517"/>
      <c r="E76" s="517"/>
      <c r="F76" s="517"/>
      <c r="G76" s="493"/>
      <c r="H76" s="493"/>
      <c r="I76" s="493"/>
      <c r="J76" s="493"/>
      <c r="K76" s="493"/>
      <c r="L76" s="493"/>
      <c r="M76" s="494"/>
      <c r="N76" s="2954"/>
      <c r="O76" s="2954"/>
      <c r="P76" s="2978"/>
      <c r="Q76" s="2945"/>
      <c r="R76" s="2946"/>
      <c r="S76" s="2946"/>
      <c r="T76" s="2946"/>
      <c r="U76" s="2946"/>
      <c r="V76" s="2946"/>
      <c r="W76" s="2946"/>
      <c r="X76" s="2946"/>
      <c r="Y76" s="2946"/>
      <c r="Z76" s="2946"/>
      <c r="AA76" s="2946"/>
      <c r="AB76" s="2946"/>
      <c r="AC76" s="2946"/>
      <c r="AD76" s="2946"/>
    </row>
    <row r="77" spans="1:30" ht="15" thickTop="1">
      <c r="A77" s="484" t="s">
        <v>2324</v>
      </c>
      <c r="B77" s="485" t="s">
        <v>2377</v>
      </c>
      <c r="C77" s="511"/>
      <c r="D77" s="511"/>
      <c r="E77" s="487"/>
      <c r="F77" s="487"/>
      <c r="G77" s="487"/>
      <c r="H77" s="487"/>
      <c r="I77" s="487"/>
      <c r="J77" s="487"/>
      <c r="K77" s="488"/>
      <c r="L77" s="489"/>
      <c r="M77" s="490"/>
      <c r="N77" s="2952"/>
      <c r="O77" s="2952"/>
      <c r="P77" s="2977"/>
      <c r="Q77" s="2938"/>
      <c r="R77" s="2924"/>
      <c r="S77" s="2924"/>
      <c r="T77" s="2924"/>
      <c r="U77" s="2924"/>
      <c r="V77" s="2924"/>
      <c r="W77" s="2924"/>
      <c r="X77" s="2924"/>
      <c r="Y77" s="2924"/>
      <c r="Z77" s="2924"/>
      <c r="AA77" s="2924"/>
      <c r="AB77" s="2924"/>
      <c r="AC77" s="2924"/>
      <c r="AD77" s="292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3"/>
      <c r="O78" s="2953"/>
      <c r="P78" s="2977"/>
      <c r="Q78" s="2938"/>
      <c r="R78" s="2924"/>
      <c r="S78" s="2924"/>
      <c r="T78" s="2924"/>
      <c r="U78" s="2924"/>
      <c r="V78" s="2924"/>
      <c r="W78" s="2924"/>
      <c r="X78" s="2924"/>
      <c r="Y78" s="2924"/>
      <c r="Z78" s="2924"/>
      <c r="AA78" s="2924"/>
      <c r="AB78" s="2924"/>
      <c r="AC78" s="2924"/>
      <c r="AD78" s="2924"/>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1"/>
      <c r="O79" s="2951"/>
      <c r="P79" s="2977"/>
      <c r="Q79" s="2938"/>
      <c r="R79" s="2924"/>
      <c r="S79" s="2924"/>
      <c r="T79" s="2924"/>
      <c r="U79" s="2924"/>
      <c r="V79" s="2924"/>
      <c r="W79" s="2924"/>
      <c r="X79" s="2924"/>
      <c r="Y79" s="2924"/>
      <c r="Z79" s="2924"/>
      <c r="AA79" s="2924"/>
      <c r="AB79" s="2924"/>
      <c r="AC79" s="2924"/>
      <c r="AD79" s="2924"/>
    </row>
    <row r="80" spans="1:30" ht="15">
      <c r="A80" s="491"/>
      <c r="B80" s="503"/>
      <c r="C80" s="560">
        <v>0.5</v>
      </c>
      <c r="D80" s="560">
        <v>0.6</v>
      </c>
      <c r="E80" s="560">
        <v>0.7</v>
      </c>
      <c r="F80" s="560">
        <v>0.8</v>
      </c>
      <c r="G80" s="560">
        <v>0.9</v>
      </c>
      <c r="H80" s="560">
        <v>1.0001</v>
      </c>
      <c r="I80" s="616"/>
      <c r="J80" s="616"/>
      <c r="K80" s="624"/>
      <c r="L80" s="625"/>
      <c r="M80" s="626"/>
      <c r="N80" s="2951"/>
      <c r="O80" s="2951"/>
      <c r="P80" s="2977"/>
      <c r="Q80" s="2938"/>
      <c r="R80" s="2924"/>
      <c r="S80" s="2924"/>
      <c r="T80" s="2924"/>
      <c r="U80" s="2924"/>
      <c r="V80" s="2924"/>
      <c r="W80" s="2924"/>
      <c r="X80" s="2924"/>
      <c r="Y80" s="2924"/>
      <c r="Z80" s="2924"/>
      <c r="AA80" s="2924"/>
      <c r="AB80" s="2924"/>
      <c r="AC80" s="2924"/>
      <c r="AD80" s="292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3"/>
      <c r="O81" s="2953"/>
      <c r="P81" s="2978"/>
      <c r="Q81" s="2945"/>
      <c r="R81" s="2946"/>
      <c r="S81" s="2946"/>
      <c r="T81" s="2946"/>
      <c r="U81" s="2946"/>
      <c r="V81" s="2946"/>
      <c r="W81" s="2946"/>
      <c r="X81" s="2946"/>
      <c r="Y81" s="2946"/>
      <c r="Z81" s="2946"/>
      <c r="AA81" s="2946"/>
      <c r="AB81" s="2946"/>
      <c r="AC81" s="2946"/>
      <c r="AD81" s="2946"/>
    </row>
    <row r="82" spans="1:30" ht="15" thickTop="1">
      <c r="A82" s="556"/>
      <c r="B82" s="503" t="s">
        <v>2494</v>
      </c>
      <c r="C82" s="511"/>
      <c r="D82" s="511"/>
      <c r="E82" s="540"/>
      <c r="F82" s="540"/>
      <c r="G82" s="540"/>
      <c r="H82" s="540"/>
      <c r="I82" s="540"/>
      <c r="J82" s="540"/>
      <c r="K82" s="541"/>
      <c r="L82" s="542"/>
      <c r="M82" s="543"/>
      <c r="N82" s="2952"/>
      <c r="O82" s="2952"/>
      <c r="P82" s="2977"/>
      <c r="Q82" s="2938"/>
      <c r="R82" s="2924"/>
      <c r="S82" s="2924"/>
      <c r="T82" s="2924"/>
      <c r="U82" s="2924"/>
      <c r="V82" s="2924"/>
      <c r="W82" s="2924"/>
      <c r="X82" s="2924"/>
      <c r="Y82" s="2924"/>
      <c r="Z82" s="2924"/>
      <c r="AA82" s="2924"/>
      <c r="AB82" s="2924"/>
      <c r="AC82" s="2924"/>
      <c r="AD82" s="292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3"/>
      <c r="O83" s="2953"/>
      <c r="P83" s="2977"/>
      <c r="Q83" s="2938"/>
      <c r="R83" s="2924"/>
      <c r="S83" s="2924"/>
      <c r="T83" s="2924"/>
      <c r="U83" s="2924"/>
      <c r="V83" s="2924"/>
      <c r="W83" s="2924"/>
      <c r="X83" s="2924"/>
      <c r="Y83" s="2924"/>
      <c r="Z83" s="2924"/>
      <c r="AA83" s="2924"/>
      <c r="AB83" s="2924"/>
      <c r="AC83" s="2924"/>
      <c r="AD83" s="2924"/>
    </row>
    <row r="84" spans="1:30" ht="15" thickTop="1">
      <c r="A84" s="556"/>
      <c r="B84" s="495" t="s">
        <v>2502</v>
      </c>
      <c r="C84" s="511"/>
      <c r="D84" s="511"/>
      <c r="E84" s="511"/>
      <c r="F84" s="511"/>
      <c r="G84" s="511"/>
      <c r="H84" s="511"/>
      <c r="I84" s="540"/>
      <c r="J84" s="540"/>
      <c r="K84" s="541"/>
      <c r="L84" s="542"/>
      <c r="M84" s="543"/>
      <c r="N84" s="2952"/>
      <c r="O84" s="2952"/>
      <c r="P84" s="2977"/>
      <c r="Q84" s="2938"/>
      <c r="R84" s="2924"/>
      <c r="S84" s="2924"/>
      <c r="T84" s="2924"/>
      <c r="U84" s="2924"/>
      <c r="V84" s="2924"/>
      <c r="W84" s="2924"/>
      <c r="X84" s="2924"/>
      <c r="Y84" s="2924"/>
      <c r="Z84" s="2924"/>
      <c r="AA84" s="2924"/>
      <c r="AB84" s="2924"/>
      <c r="AC84" s="2924"/>
      <c r="AD84" s="292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3"/>
      <c r="O85" s="2953"/>
      <c r="P85" s="2977"/>
      <c r="Q85" s="2938"/>
      <c r="R85" s="2924"/>
      <c r="S85" s="2924"/>
      <c r="T85" s="2924"/>
      <c r="U85" s="2924"/>
      <c r="V85" s="2924"/>
      <c r="W85" s="2924"/>
      <c r="X85" s="2924"/>
      <c r="Y85" s="2924"/>
      <c r="Z85" s="2924"/>
      <c r="AA85" s="2924"/>
      <c r="AB85" s="2924"/>
      <c r="AC85" s="2924"/>
      <c r="AD85" s="2924"/>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2"/>
      <c r="O86" s="2952"/>
      <c r="P86" s="2977"/>
      <c r="Q86" s="2938"/>
      <c r="R86" s="2924"/>
      <c r="S86" s="2924"/>
      <c r="T86" s="2924"/>
      <c r="U86" s="2924"/>
      <c r="V86" s="2924"/>
      <c r="W86" s="2924"/>
      <c r="X86" s="2924"/>
      <c r="Y86" s="2924"/>
      <c r="Z86" s="2924"/>
      <c r="AA86" s="2924"/>
      <c r="AB86" s="2924"/>
      <c r="AC86" s="2924"/>
      <c r="AD86" s="2924"/>
    </row>
    <row r="87" spans="1:30">
      <c r="A87" s="556"/>
      <c r="B87" s="503"/>
      <c r="C87" s="552"/>
      <c r="D87" s="552"/>
      <c r="E87" s="552"/>
      <c r="F87" s="552"/>
      <c r="G87" s="552"/>
      <c r="H87" s="552"/>
      <c r="I87" s="552"/>
      <c r="J87" s="553"/>
      <c r="K87" s="553"/>
      <c r="L87" s="554"/>
      <c r="M87" s="555"/>
      <c r="N87" s="2952"/>
      <c r="O87" s="2952"/>
      <c r="P87" s="2977"/>
      <c r="Q87" s="2938"/>
      <c r="R87" s="2924"/>
      <c r="S87" s="2924"/>
      <c r="T87" s="2924"/>
      <c r="U87" s="2924"/>
      <c r="V87" s="2924"/>
      <c r="W87" s="2924"/>
      <c r="X87" s="2924"/>
      <c r="Y87" s="2924"/>
      <c r="Z87" s="2924"/>
      <c r="AA87" s="2924"/>
      <c r="AB87" s="2924"/>
      <c r="AC87" s="2924"/>
      <c r="AD87" s="2924"/>
    </row>
    <row r="88" spans="1:30" ht="15.75" thickBot="1">
      <c r="A88" s="491"/>
      <c r="B88" s="500"/>
      <c r="C88" s="517"/>
      <c r="D88" s="493"/>
      <c r="E88" s="493"/>
      <c r="F88" s="493"/>
      <c r="G88" s="493"/>
      <c r="H88" s="493"/>
      <c r="I88" s="493"/>
      <c r="J88" s="493"/>
      <c r="K88" s="493"/>
      <c r="L88" s="493"/>
      <c r="M88" s="493"/>
      <c r="N88" s="2953"/>
      <c r="O88" s="2953"/>
      <c r="P88" s="2977"/>
      <c r="Q88" s="2938"/>
      <c r="R88" s="2924"/>
      <c r="S88" s="2924"/>
      <c r="T88" s="2924"/>
      <c r="U88" s="2924"/>
      <c r="V88" s="2924"/>
      <c r="W88" s="2924"/>
      <c r="X88" s="2924"/>
      <c r="Y88" s="2924"/>
      <c r="Z88" s="2924"/>
      <c r="AA88" s="2924"/>
      <c r="AB88" s="2924"/>
      <c r="AC88" s="2924"/>
      <c r="AD88" s="2924"/>
    </row>
    <row r="89" spans="1:30" s="430" customFormat="1" ht="15" thickTop="1">
      <c r="A89" s="550"/>
      <c r="B89" s="495" t="s">
        <v>2504</v>
      </c>
      <c r="C89" s="511"/>
      <c r="D89" s="511"/>
      <c r="E89" s="511"/>
      <c r="F89" s="511"/>
      <c r="G89" s="511"/>
      <c r="H89" s="511"/>
      <c r="I89" s="511"/>
      <c r="J89" s="511"/>
      <c r="K89" s="511"/>
      <c r="L89" s="511"/>
      <c r="M89" s="538"/>
      <c r="N89" s="2954"/>
      <c r="O89" s="2954"/>
      <c r="P89" s="2978"/>
      <c r="Q89" s="2945"/>
      <c r="R89" s="2946"/>
      <c r="S89" s="2946"/>
      <c r="T89" s="2946"/>
      <c r="U89" s="2946"/>
      <c r="V89" s="2946"/>
      <c r="W89" s="2946"/>
      <c r="X89" s="2946"/>
      <c r="Y89" s="2946"/>
      <c r="Z89" s="2946"/>
      <c r="AA89" s="2946"/>
      <c r="AB89" s="2946"/>
      <c r="AC89" s="2946"/>
      <c r="AD89" s="2946"/>
    </row>
    <row r="90" spans="1:30" s="430" customFormat="1" ht="15.75" thickBot="1">
      <c r="A90" s="510"/>
      <c r="B90" s="500"/>
      <c r="C90" s="517"/>
      <c r="D90" s="493"/>
      <c r="E90" s="493"/>
      <c r="F90" s="493"/>
      <c r="G90" s="493"/>
      <c r="H90" s="493"/>
      <c r="I90" s="493"/>
      <c r="J90" s="493"/>
      <c r="K90" s="493"/>
      <c r="L90" s="493"/>
      <c r="M90" s="494"/>
      <c r="N90" s="2954"/>
      <c r="O90" s="2954"/>
      <c r="P90" s="2978"/>
      <c r="Q90" s="2945"/>
      <c r="R90" s="2946"/>
      <c r="S90" s="2946"/>
      <c r="T90" s="2946"/>
      <c r="U90" s="2946"/>
      <c r="V90" s="2946"/>
      <c r="W90" s="2946"/>
      <c r="X90" s="2946"/>
      <c r="Y90" s="2946"/>
      <c r="Z90" s="2946"/>
      <c r="AA90" s="2946"/>
      <c r="AB90" s="2946"/>
      <c r="AC90" s="2946"/>
      <c r="AD90" s="2946"/>
    </row>
    <row r="91" spans="1:30" ht="15" thickTop="1">
      <c r="A91" s="556"/>
      <c r="B91" s="495">
        <f>B32</f>
        <v>111</v>
      </c>
      <c r="C91" s="506"/>
      <c r="D91" s="506"/>
      <c r="E91" s="506"/>
      <c r="F91" s="506"/>
      <c r="G91" s="511"/>
      <c r="H91" s="512"/>
      <c r="I91" s="512"/>
      <c r="J91" s="512"/>
      <c r="K91" s="512"/>
      <c r="L91" s="513"/>
      <c r="M91" s="514"/>
      <c r="N91" s="2952"/>
      <c r="O91" s="2952"/>
      <c r="P91" s="2977"/>
      <c r="Q91" s="2938"/>
      <c r="R91" s="2924"/>
      <c r="S91" s="2924"/>
      <c r="T91" s="2924"/>
      <c r="U91" s="2924"/>
      <c r="V91" s="2924"/>
      <c r="W91" s="2924"/>
      <c r="X91" s="2924"/>
      <c r="Y91" s="2924"/>
      <c r="Z91" s="2924"/>
      <c r="AA91" s="2924"/>
      <c r="AB91" s="2924"/>
      <c r="AC91" s="2924"/>
      <c r="AD91" s="2924"/>
    </row>
    <row r="92" spans="1:30" ht="15.75" thickBot="1">
      <c r="A92" s="491"/>
      <c r="B92" s="500"/>
      <c r="C92" s="517"/>
      <c r="D92" s="493"/>
      <c r="E92" s="493"/>
      <c r="F92" s="493"/>
      <c r="G92" s="517"/>
      <c r="H92" s="519"/>
      <c r="I92" s="519"/>
      <c r="J92" s="519"/>
      <c r="K92" s="519"/>
      <c r="L92" s="519"/>
      <c r="M92" s="520"/>
      <c r="N92" s="2953"/>
      <c r="O92" s="2953"/>
      <c r="P92" s="2977"/>
      <c r="Q92" s="2938"/>
      <c r="R92" s="2924"/>
      <c r="S92" s="2924"/>
      <c r="T92" s="2924"/>
      <c r="U92" s="2924"/>
      <c r="V92" s="2924"/>
      <c r="W92" s="2924"/>
      <c r="X92" s="2924"/>
      <c r="Y92" s="2924"/>
      <c r="Z92" s="2924"/>
      <c r="AA92" s="2924"/>
      <c r="AB92" s="2924"/>
      <c r="AC92" s="2924"/>
      <c r="AD92" s="2924"/>
    </row>
    <row r="93" spans="1:30" ht="15" thickTop="1">
      <c r="A93" s="556"/>
      <c r="B93" s="495">
        <f>B33</f>
        <v>111</v>
      </c>
      <c r="C93" s="506"/>
      <c r="D93" s="506"/>
      <c r="E93" s="506"/>
      <c r="F93" s="506"/>
      <c r="G93" s="511"/>
      <c r="H93" s="512"/>
      <c r="I93" s="512"/>
      <c r="J93" s="512"/>
      <c r="K93" s="512"/>
      <c r="L93" s="513"/>
      <c r="M93" s="514"/>
      <c r="N93" s="2952"/>
      <c r="O93" s="2952"/>
      <c r="P93" s="2977"/>
      <c r="Q93" s="2938"/>
      <c r="R93" s="2924"/>
      <c r="S93" s="2924"/>
      <c r="T93" s="2924"/>
      <c r="U93" s="2924"/>
      <c r="V93" s="2924"/>
      <c r="W93" s="2924"/>
      <c r="X93" s="2924"/>
      <c r="Y93" s="2924"/>
      <c r="Z93" s="2924"/>
      <c r="AA93" s="2924"/>
      <c r="AB93" s="2924"/>
      <c r="AC93" s="2924"/>
      <c r="AD93" s="2924"/>
    </row>
    <row r="94" spans="1:30" ht="15.75" thickBot="1">
      <c r="A94" s="491"/>
      <c r="B94" s="500"/>
      <c r="C94" s="517"/>
      <c r="D94" s="493"/>
      <c r="E94" s="493"/>
      <c r="F94" s="493"/>
      <c r="G94" s="517"/>
      <c r="H94" s="519"/>
      <c r="I94" s="519"/>
      <c r="J94" s="519"/>
      <c r="K94" s="519"/>
      <c r="L94" s="519"/>
      <c r="M94" s="520"/>
      <c r="N94" s="2953"/>
      <c r="O94" s="2953"/>
      <c r="P94" s="2977"/>
      <c r="Q94" s="2938"/>
      <c r="R94" s="2924"/>
      <c r="S94" s="2924"/>
      <c r="T94" s="2924"/>
      <c r="U94" s="2924"/>
      <c r="V94" s="2924"/>
      <c r="W94" s="2924"/>
      <c r="X94" s="2924"/>
      <c r="Y94" s="2924"/>
      <c r="Z94" s="2924"/>
      <c r="AA94" s="2924"/>
      <c r="AB94" s="2924"/>
      <c r="AC94" s="2924"/>
      <c r="AD94" s="2924"/>
    </row>
    <row r="95" spans="1:30" ht="15" thickTop="1">
      <c r="A95" s="556"/>
      <c r="B95" s="592">
        <f>B34</f>
        <v>111</v>
      </c>
      <c r="C95" s="506"/>
      <c r="D95" s="506"/>
      <c r="E95" s="506"/>
      <c r="F95" s="506"/>
      <c r="G95" s="511"/>
      <c r="H95" s="512"/>
      <c r="I95" s="512"/>
      <c r="J95" s="512"/>
      <c r="K95" s="512"/>
      <c r="L95" s="513"/>
      <c r="M95" s="514"/>
      <c r="N95" s="2953"/>
      <c r="O95" s="2953"/>
      <c r="P95" s="2980"/>
      <c r="Q95" s="2967"/>
      <c r="R95" s="2924"/>
      <c r="S95" s="2924"/>
      <c r="T95" s="2924"/>
      <c r="U95" s="2924"/>
      <c r="V95" s="2924"/>
      <c r="W95" s="2924"/>
      <c r="X95" s="2924"/>
      <c r="Y95" s="2924"/>
      <c r="Z95" s="2924"/>
      <c r="AA95" s="2924"/>
      <c r="AB95" s="2924"/>
      <c r="AC95" s="2924"/>
      <c r="AD95" s="2924"/>
    </row>
    <row r="96" spans="1:30" ht="15.75" thickBot="1">
      <c r="A96" s="491"/>
      <c r="B96" s="500"/>
      <c r="C96" s="517"/>
      <c r="D96" s="517"/>
      <c r="E96" s="517"/>
      <c r="F96" s="517"/>
      <c r="G96" s="517"/>
      <c r="H96" s="519"/>
      <c r="I96" s="519"/>
      <c r="J96" s="519"/>
      <c r="K96" s="519"/>
      <c r="L96" s="519"/>
      <c r="M96" s="520"/>
      <c r="N96" s="2953"/>
      <c r="O96" s="2953"/>
      <c r="P96" s="2977"/>
      <c r="Q96" s="2938"/>
      <c r="R96" s="2924"/>
      <c r="S96" s="2924"/>
      <c r="T96" s="2924"/>
      <c r="U96" s="2924"/>
      <c r="V96" s="2924"/>
      <c r="W96" s="2924"/>
      <c r="X96" s="2924"/>
      <c r="Y96" s="2924"/>
      <c r="Z96" s="2924"/>
      <c r="AA96" s="2924"/>
      <c r="AB96" s="2924"/>
      <c r="AC96" s="2924"/>
      <c r="AD96" s="2924"/>
    </row>
    <row r="97" spans="1:30" ht="15" thickTop="1">
      <c r="N97" s="2924"/>
      <c r="O97" s="2924"/>
      <c r="P97" s="2924"/>
      <c r="Q97" s="2924"/>
      <c r="R97" s="2924"/>
      <c r="S97" s="2924"/>
      <c r="T97" s="2924"/>
      <c r="U97" s="2924"/>
      <c r="V97" s="2924"/>
      <c r="W97" s="2924"/>
      <c r="X97" s="2924"/>
      <c r="Y97" s="2924"/>
      <c r="Z97" s="2924"/>
      <c r="AA97" s="2924"/>
      <c r="AB97" s="2924"/>
      <c r="AC97" s="2924"/>
      <c r="AD97" s="2924"/>
    </row>
    <row r="98" spans="1:30">
      <c r="A98" s="1067"/>
      <c r="B98" s="1067"/>
      <c r="C98" s="1067"/>
      <c r="D98" s="1067"/>
      <c r="E98" s="1067"/>
      <c r="F98" s="1067"/>
      <c r="G98" s="1067"/>
      <c r="H98" s="1067"/>
      <c r="I98" s="1067"/>
      <c r="J98" s="1067"/>
      <c r="K98" s="1068"/>
      <c r="L98" s="1069"/>
      <c r="M98" s="1067"/>
      <c r="N98" s="2924"/>
      <c r="O98" s="2924"/>
      <c r="P98" s="2924"/>
      <c r="Q98" s="2924"/>
      <c r="R98" s="2924"/>
      <c r="S98" s="2924"/>
      <c r="T98" s="2924"/>
      <c r="U98" s="2924"/>
      <c r="V98" s="2924"/>
      <c r="W98" s="2924"/>
      <c r="X98" s="2924"/>
      <c r="Y98" s="2924"/>
      <c r="Z98" s="2924"/>
      <c r="AA98" s="2924"/>
      <c r="AB98" s="2924"/>
      <c r="AC98" s="2924"/>
      <c r="AD98" s="2924"/>
    </row>
    <row r="99" spans="1:30">
      <c r="A99" s="1067"/>
      <c r="B99" s="1067"/>
      <c r="C99" s="1067"/>
      <c r="D99" s="1067"/>
      <c r="E99" s="1067"/>
      <c r="F99" s="1067"/>
      <c r="G99" s="1067"/>
      <c r="H99" s="1067"/>
      <c r="I99" s="1067"/>
      <c r="J99" s="1067"/>
      <c r="K99" s="1068"/>
      <c r="L99" s="1069"/>
      <c r="M99" s="1067"/>
      <c r="N99" s="2924"/>
      <c r="O99" s="2924"/>
      <c r="P99" s="2924"/>
      <c r="Q99" s="2924"/>
      <c r="R99" s="2924"/>
      <c r="S99" s="2924"/>
      <c r="T99" s="2924"/>
      <c r="U99" s="2924"/>
      <c r="V99" s="2924"/>
      <c r="W99" s="2924"/>
      <c r="X99" s="2924"/>
      <c r="Y99" s="2924"/>
      <c r="Z99" s="2924"/>
      <c r="AA99" s="2924"/>
      <c r="AB99" s="2924"/>
      <c r="AC99" s="2924"/>
      <c r="AD99" s="2924"/>
    </row>
    <row r="100" spans="1:30">
      <c r="A100" s="1067"/>
      <c r="B100" s="1067"/>
      <c r="C100" s="1067"/>
      <c r="D100" s="1067"/>
      <c r="E100" s="1067"/>
      <c r="F100" s="1067"/>
      <c r="G100" s="1067"/>
      <c r="H100" s="1067"/>
      <c r="I100" s="1067"/>
      <c r="J100" s="1067"/>
      <c r="K100" s="1068"/>
      <c r="L100" s="1069"/>
      <c r="M100" s="1067"/>
      <c r="N100" s="2924"/>
      <c r="O100" s="2924"/>
      <c r="P100" s="2924"/>
      <c r="Q100" s="2924"/>
      <c r="R100" s="2924"/>
      <c r="S100" s="2924"/>
      <c r="T100" s="2924"/>
      <c r="U100" s="2924"/>
      <c r="V100" s="2924"/>
      <c r="W100" s="2924"/>
      <c r="X100" s="2924"/>
      <c r="Y100" s="2924"/>
      <c r="Z100" s="2924"/>
      <c r="AA100" s="2924"/>
      <c r="AB100" s="2924"/>
      <c r="AC100" s="2924"/>
      <c r="AD100" s="2924"/>
    </row>
    <row r="101" spans="1:30">
      <c r="A101" s="1067"/>
      <c r="B101" s="1067"/>
      <c r="C101" s="1067"/>
      <c r="D101" s="1067"/>
      <c r="E101" s="1067"/>
      <c r="F101" s="1067"/>
      <c r="G101" s="1067"/>
      <c r="H101" s="1067"/>
      <c r="I101" s="1067"/>
      <c r="J101" s="1067"/>
      <c r="K101" s="1068"/>
      <c r="L101" s="1069"/>
      <c r="M101" s="1067"/>
      <c r="N101" s="2924"/>
      <c r="O101" s="2924"/>
      <c r="P101" s="2924"/>
      <c r="Q101" s="2924"/>
      <c r="R101" s="2924"/>
      <c r="S101" s="2924"/>
      <c r="T101" s="2924"/>
      <c r="U101" s="2924"/>
      <c r="V101" s="2924"/>
      <c r="W101" s="2924"/>
      <c r="X101" s="2924"/>
      <c r="Y101" s="2924"/>
      <c r="Z101" s="2924"/>
      <c r="AA101" s="2924"/>
      <c r="AB101" s="2924"/>
      <c r="AC101" s="2924"/>
      <c r="AD101" s="2924"/>
    </row>
    <row r="102" spans="1:30">
      <c r="A102" s="1067"/>
      <c r="B102" s="1067"/>
      <c r="C102" s="1067"/>
      <c r="D102" s="1067"/>
      <c r="E102" s="1067"/>
      <c r="F102" s="1067"/>
      <c r="G102" s="1067"/>
      <c r="H102" s="1067"/>
      <c r="I102" s="1067"/>
      <c r="J102" s="1067"/>
      <c r="K102" s="1068"/>
      <c r="L102" s="1069"/>
      <c r="M102" s="1067"/>
      <c r="N102" s="2924"/>
      <c r="O102" s="2924"/>
      <c r="P102" s="2924"/>
      <c r="Q102" s="2924"/>
      <c r="R102" s="2924"/>
      <c r="S102" s="2924"/>
      <c r="T102" s="2924"/>
      <c r="U102" s="2924"/>
      <c r="V102" s="2924"/>
      <c r="W102" s="2924"/>
      <c r="X102" s="2924"/>
      <c r="Y102" s="2924"/>
      <c r="Z102" s="2924"/>
      <c r="AA102" s="2924"/>
      <c r="AB102" s="2924"/>
      <c r="AC102" s="2924"/>
      <c r="AD102" s="2924"/>
    </row>
    <row r="103" spans="1:30">
      <c r="A103" s="1067"/>
      <c r="B103" s="1067"/>
      <c r="C103" s="1067"/>
      <c r="D103" s="1067"/>
      <c r="E103" s="1067"/>
      <c r="F103" s="1067"/>
      <c r="G103" s="1067"/>
      <c r="H103" s="1067"/>
      <c r="I103" s="1067"/>
      <c r="J103" s="1067"/>
      <c r="K103" s="1068"/>
      <c r="L103" s="1069"/>
      <c r="M103" s="1067"/>
      <c r="N103" s="1067"/>
      <c r="O103" s="1067"/>
      <c r="P103" s="2924"/>
      <c r="Q103" s="2924"/>
      <c r="R103" s="2924"/>
      <c r="S103" s="2924"/>
      <c r="T103" s="2924"/>
      <c r="U103" s="2924"/>
      <c r="V103" s="2924"/>
      <c r="W103" s="2924"/>
      <c r="X103" s="2924"/>
      <c r="Y103" s="2924"/>
      <c r="Z103" s="2924"/>
      <c r="AA103" s="2924"/>
      <c r="AB103" s="2924"/>
      <c r="AC103" s="2924"/>
      <c r="AD103" s="292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M25" sqref="M25"/>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2406</v>
      </c>
      <c r="B4" s="362"/>
      <c r="C4" s="3586" t="s">
        <v>2407</v>
      </c>
      <c r="D4" s="3587"/>
      <c r="E4" s="3588" t="s">
        <v>2408</v>
      </c>
      <c r="F4" s="3589"/>
      <c r="G4" s="3586" t="s">
        <v>2409</v>
      </c>
      <c r="H4" s="3587"/>
      <c r="I4" s="3586" t="s">
        <v>2410</v>
      </c>
      <c r="J4" s="3587"/>
      <c r="K4" s="567" t="s">
        <v>2411</v>
      </c>
      <c r="L4" s="2914"/>
      <c r="M4" s="2915"/>
      <c r="N4" s="2915"/>
      <c r="O4" s="2915"/>
      <c r="P4" s="3590" t="s">
        <v>2412</v>
      </c>
      <c r="Q4" s="3591"/>
      <c r="R4" s="3573" t="s">
        <v>2408</v>
      </c>
      <c r="S4" s="3574"/>
      <c r="T4" s="3573" t="s">
        <v>2409</v>
      </c>
      <c r="U4" s="3574"/>
      <c r="V4" s="3598" t="s">
        <v>2410</v>
      </c>
      <c r="W4" s="3598"/>
      <c r="X4" s="1509"/>
      <c r="Y4" s="3573" t="s">
        <v>2412</v>
      </c>
      <c r="Z4" s="3574"/>
      <c r="AA4" s="3568" t="s">
        <v>2408</v>
      </c>
      <c r="AB4" s="3569" t="s">
        <v>2409</v>
      </c>
      <c r="AC4" s="3568" t="s">
        <v>2410</v>
      </c>
    </row>
    <row r="5" spans="1:29" ht="15">
      <c r="A5" s="364"/>
      <c r="B5" s="365"/>
      <c r="C5" s="3579" t="s">
        <v>2303</v>
      </c>
      <c r="D5" s="3580"/>
      <c r="E5" s="3577" t="s">
        <v>2304</v>
      </c>
      <c r="F5" s="3578"/>
      <c r="G5" s="3579" t="s">
        <v>2305</v>
      </c>
      <c r="H5" s="3580"/>
      <c r="I5" s="3579" t="s">
        <v>2306</v>
      </c>
      <c r="J5" s="3580"/>
      <c r="K5" s="567"/>
      <c r="L5" s="2914"/>
      <c r="M5" s="2915"/>
      <c r="N5" s="2915"/>
      <c r="O5" s="2915"/>
      <c r="P5" s="3592"/>
      <c r="Q5" s="3593"/>
      <c r="R5" s="3575"/>
      <c r="S5" s="3576"/>
      <c r="T5" s="3575"/>
      <c r="U5" s="3576"/>
      <c r="V5" s="3598"/>
      <c r="W5" s="3598"/>
      <c r="X5" s="1509"/>
      <c r="Y5" s="3575"/>
      <c r="Z5" s="3576"/>
      <c r="AA5" s="3569"/>
      <c r="AB5" s="3569"/>
      <c r="AC5" s="3569"/>
    </row>
    <row r="6" spans="1:29" ht="15.75" thickBot="1">
      <c r="A6" s="366"/>
      <c r="B6" s="367"/>
      <c r="C6" s="3661" t="s">
        <v>2558</v>
      </c>
      <c r="D6" s="3662"/>
      <c r="E6" s="3663" t="s">
        <v>2558</v>
      </c>
      <c r="F6" s="3664"/>
      <c r="G6" s="3661" t="s">
        <v>2558</v>
      </c>
      <c r="H6" s="3662"/>
      <c r="I6" s="3661" t="s">
        <v>2558</v>
      </c>
      <c r="J6" s="3662"/>
      <c r="K6" s="567" t="s">
        <v>2308</v>
      </c>
      <c r="L6" s="2914"/>
      <c r="M6" s="2915"/>
      <c r="N6" s="2915"/>
      <c r="O6" s="2915"/>
      <c r="P6" s="3594"/>
      <c r="Q6" s="3595"/>
      <c r="R6" s="3575"/>
      <c r="S6" s="3576"/>
      <c r="T6" s="3596"/>
      <c r="U6" s="3597"/>
      <c r="V6" s="3598"/>
      <c r="W6" s="3598"/>
      <c r="X6" s="1509"/>
      <c r="Y6" s="3596"/>
      <c r="Z6" s="3597"/>
      <c r="AA6" s="3570"/>
      <c r="AB6" s="3570"/>
      <c r="AC6" s="3570"/>
    </row>
    <row r="7" spans="1:29" s="113" customFormat="1" ht="15.75" thickBot="1">
      <c r="A7" s="368" t="s">
        <v>2309</v>
      </c>
      <c r="B7" s="369"/>
      <c r="C7" s="370">
        <f>'数据-取费表'!B2</f>
        <v>44543</v>
      </c>
      <c r="D7" s="371">
        <v>100</v>
      </c>
      <c r="E7" s="372"/>
      <c r="F7" s="373">
        <f>SUMIF(65:65,YEAR(E7)&amp;"-"&amp;INT((MONTH(E7)+2)/3),66:66)</f>
        <v>0</v>
      </c>
      <c r="G7" s="2130"/>
      <c r="H7" s="371">
        <f>SUMIF(65:65,YEAR(G7)&amp;"-"&amp;INT((MONTH(G7)+2)/3),66:66)</f>
        <v>0</v>
      </c>
      <c r="I7" s="2130"/>
      <c r="J7" s="371">
        <f>SUMIF(65:65,YEAR(I7)&amp;"-"&amp;INT((MONTH(I7)+2)/3),66:66)</f>
        <v>0</v>
      </c>
      <c r="K7" s="568"/>
      <c r="L7" s="2916"/>
      <c r="M7" s="2917"/>
      <c r="N7" s="2917"/>
      <c r="O7" s="2917"/>
      <c r="P7" s="3571" t="s">
        <v>2310</v>
      </c>
      <c r="Q7" s="3599"/>
      <c r="R7" s="710" t="s">
        <v>17</v>
      </c>
      <c r="S7" s="711">
        <f t="shared" ref="S7:S15" si="0">F7</f>
        <v>0</v>
      </c>
      <c r="T7" s="710" t="s">
        <v>17</v>
      </c>
      <c r="U7" s="711">
        <f t="shared" ref="U7:U15" si="1">H7</f>
        <v>0</v>
      </c>
      <c r="V7" s="710" t="s">
        <v>17</v>
      </c>
      <c r="W7" s="711">
        <f t="shared" ref="W7:W15" si="2">J7</f>
        <v>0</v>
      </c>
      <c r="X7" s="712"/>
      <c r="Y7" s="3571" t="s">
        <v>2310</v>
      </c>
      <c r="Z7" s="3572"/>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6"/>
      <c r="M8" s="2917"/>
      <c r="N8" s="2917"/>
      <c r="O8" s="2917"/>
      <c r="P8" s="3571" t="s">
        <v>2313</v>
      </c>
      <c r="Q8" s="3572"/>
      <c r="R8" s="710" t="s">
        <v>17</v>
      </c>
      <c r="S8" s="711">
        <f t="shared" si="0"/>
        <v>0</v>
      </c>
      <c r="T8" s="710" t="s">
        <v>17</v>
      </c>
      <c r="U8" s="711">
        <f t="shared" si="1"/>
        <v>0</v>
      </c>
      <c r="V8" s="710" t="s">
        <v>17</v>
      </c>
      <c r="W8" s="711">
        <f t="shared" si="2"/>
        <v>0</v>
      </c>
      <c r="X8" s="712"/>
      <c r="Y8" s="3571" t="s">
        <v>2313</v>
      </c>
      <c r="Z8" s="3572"/>
      <c r="AA8" s="713" t="e">
        <f t="shared" ref="AA8:AA40" si="3">D8/F8</f>
        <v>#DIV/0!</v>
      </c>
      <c r="AB8" s="713" t="e">
        <f t="shared" ref="AB8:AB40" si="4">D8/H8</f>
        <v>#DIV/0!</v>
      </c>
      <c r="AC8" s="713" t="e">
        <f t="shared" ref="AC8:AC40" si="5">D8/J8</f>
        <v>#DIV/0!</v>
      </c>
    </row>
    <row r="9" spans="1:29" s="113" customFormat="1">
      <c r="A9" s="375" t="s">
        <v>2314</v>
      </c>
      <c r="B9" s="67" t="s">
        <v>2315</v>
      </c>
      <c r="C9" s="2133"/>
      <c r="D9" s="131">
        <v>100</v>
      </c>
      <c r="E9" s="2133"/>
      <c r="F9" s="131">
        <f>SUMIF(70:70,E9,71:71)-SUMIF(70:70,C9,71:71)+100</f>
        <v>100</v>
      </c>
      <c r="G9" s="2133"/>
      <c r="H9" s="131">
        <f>SUMIF(70:70,G9,71:71)-SUMIF(70:70,C9,71:71)+100</f>
        <v>100</v>
      </c>
      <c r="I9" s="2133"/>
      <c r="J9" s="131">
        <f>SUMIF(70:70,I9,71:71)-SUMIF(70:70,C9,71:71)+100</f>
        <v>100</v>
      </c>
      <c r="K9" s="568"/>
      <c r="L9" s="2916"/>
      <c r="M9" s="2917"/>
      <c r="N9" s="2917"/>
      <c r="O9" s="2971"/>
      <c r="P9" s="3585" t="s">
        <v>2316</v>
      </c>
      <c r="Q9" s="1497" t="str">
        <f t="shared" ref="Q9:Q15" si="6">B9</f>
        <v>用途</v>
      </c>
      <c r="R9" s="710" t="s">
        <v>17</v>
      </c>
      <c r="S9" s="711">
        <f t="shared" si="0"/>
        <v>100</v>
      </c>
      <c r="T9" s="710" t="s">
        <v>17</v>
      </c>
      <c r="U9" s="711">
        <f t="shared" si="1"/>
        <v>100</v>
      </c>
      <c r="V9" s="710" t="s">
        <v>17</v>
      </c>
      <c r="W9" s="711">
        <f t="shared" si="2"/>
        <v>100</v>
      </c>
      <c r="X9" s="712"/>
      <c r="Y9" s="3541"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110</v>
      </c>
      <c r="G10" s="391"/>
      <c r="H10" s="132">
        <f>ROUND(100/'数据-取费表'!G16,0)</f>
        <v>110</v>
      </c>
      <c r="I10" s="391"/>
      <c r="J10" s="132">
        <f>ROUND(100/'数据-取费表'!G16,0)</f>
        <v>110</v>
      </c>
      <c r="K10" s="628"/>
      <c r="L10" s="2918"/>
      <c r="M10" s="2919"/>
      <c r="N10" s="2919"/>
      <c r="O10" s="2972"/>
      <c r="P10" s="3585"/>
      <c r="Q10" s="1497" t="str">
        <f t="shared" si="6"/>
        <v>土地使用年限（年）</v>
      </c>
      <c r="R10" s="710" t="s">
        <v>17</v>
      </c>
      <c r="S10" s="711">
        <f t="shared" si="0"/>
        <v>110</v>
      </c>
      <c r="T10" s="710" t="s">
        <v>17</v>
      </c>
      <c r="U10" s="711">
        <f t="shared" si="1"/>
        <v>110</v>
      </c>
      <c r="V10" s="710" t="s">
        <v>17</v>
      </c>
      <c r="W10" s="711">
        <f t="shared" si="2"/>
        <v>110</v>
      </c>
      <c r="X10" s="712"/>
      <c r="Y10" s="3541"/>
      <c r="Z10" s="55" t="str">
        <f t="shared" si="7"/>
        <v>土地使用年限（年）</v>
      </c>
      <c r="AA10" s="713">
        <f t="shared" si="3"/>
        <v>0.90909090909090906</v>
      </c>
      <c r="AB10" s="713">
        <f t="shared" si="4"/>
        <v>0.90909090909090906</v>
      </c>
      <c r="AC10" s="713">
        <f t="shared" si="5"/>
        <v>0.90909090909090906</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20"/>
      <c r="M11" s="2915"/>
      <c r="N11" s="2915"/>
      <c r="O11" s="2973"/>
      <c r="P11" s="3585"/>
      <c r="Q11" s="1497" t="str">
        <f t="shared" si="6"/>
        <v>容积率</v>
      </c>
      <c r="R11" s="710" t="s">
        <v>17</v>
      </c>
      <c r="S11" s="711" t="e">
        <f t="shared" si="0"/>
        <v>#N/A</v>
      </c>
      <c r="T11" s="710" t="s">
        <v>17</v>
      </c>
      <c r="U11" s="711" t="e">
        <f t="shared" si="1"/>
        <v>#N/A</v>
      </c>
      <c r="V11" s="710" t="s">
        <v>17</v>
      </c>
      <c r="W11" s="711" t="e">
        <f t="shared" si="2"/>
        <v>#N/A</v>
      </c>
      <c r="X11" s="712"/>
      <c r="Y11" s="3541"/>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6"/>
      <c r="M12" s="2917"/>
      <c r="N12" s="2917"/>
      <c r="O12" s="2971"/>
      <c r="P12" s="3585"/>
      <c r="Q12" s="1497">
        <f t="shared" si="6"/>
        <v>111</v>
      </c>
      <c r="R12" s="710" t="s">
        <v>17</v>
      </c>
      <c r="S12" s="711">
        <f t="shared" si="0"/>
        <v>100</v>
      </c>
      <c r="T12" s="710" t="s">
        <v>17</v>
      </c>
      <c r="U12" s="711">
        <f t="shared" si="1"/>
        <v>100</v>
      </c>
      <c r="V12" s="710" t="s">
        <v>17</v>
      </c>
      <c r="W12" s="711">
        <f t="shared" si="2"/>
        <v>100</v>
      </c>
      <c r="X12" s="712"/>
      <c r="Y12" s="3541"/>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21"/>
      <c r="M13" s="2915"/>
      <c r="N13" s="2915"/>
      <c r="O13" s="2973"/>
      <c r="P13" s="3585"/>
      <c r="Q13" s="1497">
        <f t="shared" si="6"/>
        <v>111</v>
      </c>
      <c r="R13" s="710" t="s">
        <v>17</v>
      </c>
      <c r="S13" s="711">
        <f t="shared" si="0"/>
        <v>100</v>
      </c>
      <c r="T13" s="710" t="s">
        <v>17</v>
      </c>
      <c r="U13" s="711">
        <f t="shared" si="1"/>
        <v>100</v>
      </c>
      <c r="V13" s="710" t="s">
        <v>17</v>
      </c>
      <c r="W13" s="711">
        <f t="shared" si="2"/>
        <v>100</v>
      </c>
      <c r="X13" s="712"/>
      <c r="Y13" s="3541"/>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21"/>
      <c r="M14" s="2915"/>
      <c r="N14" s="2915"/>
      <c r="O14" s="2973"/>
      <c r="P14" s="3585"/>
      <c r="Q14" s="1497">
        <f t="shared" si="6"/>
        <v>111</v>
      </c>
      <c r="R14" s="710" t="s">
        <v>17</v>
      </c>
      <c r="S14" s="711">
        <f t="shared" si="0"/>
        <v>100</v>
      </c>
      <c r="T14" s="710" t="s">
        <v>17</v>
      </c>
      <c r="U14" s="711">
        <f t="shared" si="1"/>
        <v>100</v>
      </c>
      <c r="V14" s="710" t="s">
        <v>17</v>
      </c>
      <c r="W14" s="711">
        <f t="shared" si="2"/>
        <v>100</v>
      </c>
      <c r="X14" s="712"/>
      <c r="Y14" s="3541"/>
      <c r="Z14" s="55">
        <f t="shared" si="7"/>
        <v>111</v>
      </c>
      <c r="AA14" s="713">
        <f t="shared" si="3"/>
        <v>1</v>
      </c>
      <c r="AB14" s="713">
        <f t="shared" si="4"/>
        <v>1</v>
      </c>
      <c r="AC14" s="713">
        <f t="shared" si="5"/>
        <v>1</v>
      </c>
    </row>
    <row r="15" spans="1:29" ht="57">
      <c r="A15" s="399" t="s">
        <v>2320</v>
      </c>
      <c r="B15" s="585" t="s">
        <v>2559</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1"/>
      <c r="M15" s="2915"/>
      <c r="N15" s="2915"/>
      <c r="O15" s="2973"/>
      <c r="P15" s="3600" t="s">
        <v>2321</v>
      </c>
      <c r="Q15" s="1506" t="str">
        <f t="shared" si="6"/>
        <v>产业集聚程度</v>
      </c>
      <c r="R15" s="714" t="s">
        <v>17</v>
      </c>
      <c r="S15" s="715">
        <f t="shared" si="0"/>
        <v>100</v>
      </c>
      <c r="T15" s="714" t="s">
        <v>17</v>
      </c>
      <c r="U15" s="715">
        <f t="shared" si="1"/>
        <v>100</v>
      </c>
      <c r="V15" s="714" t="s">
        <v>17</v>
      </c>
      <c r="W15" s="715">
        <f t="shared" si="2"/>
        <v>100</v>
      </c>
      <c r="X15" s="1509"/>
      <c r="Y15" s="3600" t="s">
        <v>2321</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21"/>
      <c r="M16" s="2915"/>
      <c r="N16" s="2915"/>
      <c r="O16" s="2973"/>
      <c r="P16" s="3601"/>
      <c r="Q16" s="1506"/>
      <c r="R16" s="714"/>
      <c r="S16" s="715"/>
      <c r="T16" s="714"/>
      <c r="U16" s="715"/>
      <c r="V16" s="714"/>
      <c r="W16" s="715"/>
      <c r="X16" s="1509"/>
      <c r="Y16" s="3601"/>
      <c r="Z16" s="1510"/>
      <c r="AA16" s="1507">
        <v>1</v>
      </c>
      <c r="AB16" s="1507">
        <v>1</v>
      </c>
      <c r="AC16" s="1507">
        <v>1</v>
      </c>
    </row>
    <row r="17" spans="1:29" ht="85.5">
      <c r="A17" s="387"/>
      <c r="B17" s="587" t="s">
        <v>2470</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1"/>
      <c r="M17" s="2915"/>
      <c r="N17" s="2915"/>
      <c r="O17" s="2973"/>
      <c r="P17" s="3601"/>
      <c r="Q17" s="1506" t="str">
        <f>B17</f>
        <v>交通便捷度</v>
      </c>
      <c r="R17" s="714" t="s">
        <v>17</v>
      </c>
      <c r="S17" s="715">
        <f>F17</f>
        <v>100</v>
      </c>
      <c r="T17" s="714" t="s">
        <v>17</v>
      </c>
      <c r="U17" s="715">
        <f>H17</f>
        <v>100</v>
      </c>
      <c r="V17" s="714" t="s">
        <v>17</v>
      </c>
      <c r="W17" s="715">
        <f>J17</f>
        <v>100</v>
      </c>
      <c r="X17" s="1509"/>
      <c r="Y17" s="3601"/>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21"/>
      <c r="M18" s="2915"/>
      <c r="N18" s="2915"/>
      <c r="O18" s="2973"/>
      <c r="P18" s="3601"/>
      <c r="Q18" s="1506"/>
      <c r="R18" s="714"/>
      <c r="S18" s="715"/>
      <c r="T18" s="714"/>
      <c r="U18" s="715"/>
      <c r="V18" s="714"/>
      <c r="W18" s="715"/>
      <c r="X18" s="1509"/>
      <c r="Y18" s="3601"/>
      <c r="Z18" s="1510"/>
      <c r="AA18" s="1507">
        <v>1</v>
      </c>
      <c r="AB18" s="1507">
        <v>1</v>
      </c>
      <c r="AC18" s="1507">
        <v>1</v>
      </c>
    </row>
    <row r="19" spans="1:29" ht="15">
      <c r="A19" s="387"/>
      <c r="B19" s="587" t="s">
        <v>2509</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1"/>
      <c r="M19" s="2915"/>
      <c r="N19" s="2915"/>
      <c r="O19" s="2973"/>
      <c r="P19" s="3601"/>
      <c r="Q19" s="1506" t="str">
        <f t="shared" ref="Q19:Q33" si="8">B19</f>
        <v>区域土地利用方向</v>
      </c>
      <c r="R19" s="714" t="s">
        <v>17</v>
      </c>
      <c r="S19" s="715">
        <f>F19</f>
        <v>100</v>
      </c>
      <c r="T19" s="714" t="s">
        <v>17</v>
      </c>
      <c r="U19" s="715">
        <f>H19</f>
        <v>100</v>
      </c>
      <c r="V19" s="714" t="s">
        <v>17</v>
      </c>
      <c r="W19" s="715">
        <f>J19</f>
        <v>100</v>
      </c>
      <c r="X19" s="1509"/>
      <c r="Y19" s="3601"/>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21"/>
      <c r="M20" s="2915"/>
      <c r="N20" s="2915"/>
      <c r="O20" s="2973"/>
      <c r="P20" s="3601"/>
      <c r="Q20" s="1506"/>
      <c r="R20" s="714"/>
      <c r="S20" s="715"/>
      <c r="T20" s="714"/>
      <c r="U20" s="715"/>
      <c r="V20" s="714"/>
      <c r="W20" s="715"/>
      <c r="X20" s="1509"/>
      <c r="Y20" s="3601"/>
      <c r="Z20" s="1510"/>
      <c r="AA20" s="1507"/>
      <c r="AB20" s="1507"/>
      <c r="AC20" s="1507"/>
    </row>
    <row r="21" spans="1:29" ht="71.25">
      <c r="A21" s="364"/>
      <c r="B21" s="587" t="s">
        <v>2560</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1"/>
      <c r="M21" s="2915"/>
      <c r="N21" s="2915"/>
      <c r="O21" s="2973"/>
      <c r="P21" s="3601"/>
      <c r="Q21" s="1506" t="str">
        <f t="shared" si="8"/>
        <v>环境状况</v>
      </c>
      <c r="R21" s="714" t="s">
        <v>17</v>
      </c>
      <c r="S21" s="715">
        <f>F21</f>
        <v>100</v>
      </c>
      <c r="T21" s="714" t="s">
        <v>17</v>
      </c>
      <c r="U21" s="715">
        <f>H21</f>
        <v>100</v>
      </c>
      <c r="V21" s="714" t="s">
        <v>17</v>
      </c>
      <c r="W21" s="715">
        <f>J21</f>
        <v>100</v>
      </c>
      <c r="X21" s="1509"/>
      <c r="Y21" s="3601"/>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21"/>
      <c r="M22" s="2915"/>
      <c r="N22" s="2915"/>
      <c r="O22" s="2973"/>
      <c r="P22" s="3601"/>
      <c r="Q22" s="1506"/>
      <c r="R22" s="714"/>
      <c r="S22" s="715"/>
      <c r="T22" s="714"/>
      <c r="U22" s="715"/>
      <c r="V22" s="714"/>
      <c r="W22" s="715"/>
      <c r="X22" s="1509"/>
      <c r="Y22" s="3601"/>
      <c r="Z22" s="1510"/>
      <c r="AA22" s="1507">
        <v>1</v>
      </c>
      <c r="AB22" s="1507">
        <v>1</v>
      </c>
      <c r="AC22" s="1507">
        <v>1</v>
      </c>
    </row>
    <row r="23" spans="1:29" s="113" customFormat="1" ht="42.75">
      <c r="A23" s="605"/>
      <c r="B23" s="589" t="s">
        <v>2415</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6"/>
      <c r="M23" s="2917"/>
      <c r="N23" s="2917"/>
      <c r="O23" s="2971"/>
      <c r="P23" s="3601"/>
      <c r="Q23" s="1497" t="str">
        <f t="shared" si="8"/>
        <v>公共配套设施</v>
      </c>
      <c r="R23" s="710" t="s">
        <v>17</v>
      </c>
      <c r="S23" s="711">
        <f>F23</f>
        <v>100</v>
      </c>
      <c r="T23" s="710" t="s">
        <v>17</v>
      </c>
      <c r="U23" s="711">
        <f>H23</f>
        <v>100</v>
      </c>
      <c r="V23" s="710" t="s">
        <v>17</v>
      </c>
      <c r="W23" s="711">
        <f>J23</f>
        <v>100</v>
      </c>
      <c r="X23" s="712"/>
      <c r="Y23" s="3601"/>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6"/>
      <c r="M24" s="2917"/>
      <c r="N24" s="2917"/>
      <c r="O24" s="2971"/>
      <c r="P24" s="3601"/>
      <c r="Q24" s="1497"/>
      <c r="R24" s="710"/>
      <c r="S24" s="711"/>
      <c r="T24" s="710"/>
      <c r="U24" s="711"/>
      <c r="V24" s="710"/>
      <c r="W24" s="711"/>
      <c r="X24" s="712"/>
      <c r="Y24" s="3601"/>
      <c r="Z24" s="55"/>
      <c r="AA24" s="713">
        <v>1</v>
      </c>
      <c r="AB24" s="713">
        <v>1</v>
      </c>
      <c r="AC24" s="713">
        <v>1</v>
      </c>
    </row>
    <row r="25" spans="1:29" s="113" customFormat="1" ht="28.5">
      <c r="A25" s="605"/>
      <c r="B25" s="589" t="s">
        <v>2416</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6"/>
      <c r="M25" s="2917"/>
      <c r="N25" s="2917"/>
      <c r="O25" s="2971"/>
      <c r="P25" s="3601"/>
      <c r="Q25" s="1497" t="str">
        <f t="shared" ref="Q25" si="9">B25</f>
        <v>基础设施水平</v>
      </c>
      <c r="R25" s="710" t="s">
        <v>17</v>
      </c>
      <c r="S25" s="711">
        <f>F25</f>
        <v>100</v>
      </c>
      <c r="T25" s="710" t="s">
        <v>17</v>
      </c>
      <c r="U25" s="711">
        <f>H25</f>
        <v>100</v>
      </c>
      <c r="V25" s="710" t="s">
        <v>17</v>
      </c>
      <c r="W25" s="711">
        <f>J25</f>
        <v>100</v>
      </c>
      <c r="X25" s="712"/>
      <c r="Y25" s="3601"/>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6"/>
      <c r="M26" s="2917"/>
      <c r="N26" s="2917"/>
      <c r="O26" s="2971"/>
      <c r="P26" s="3601"/>
      <c r="Q26" s="1497"/>
      <c r="R26" s="710"/>
      <c r="S26" s="711"/>
      <c r="T26" s="710"/>
      <c r="U26" s="711"/>
      <c r="V26" s="710"/>
      <c r="W26" s="711"/>
      <c r="X26" s="712"/>
      <c r="Y26" s="3601"/>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21"/>
      <c r="M27" s="2915"/>
      <c r="N27" s="2915"/>
      <c r="O27" s="2973"/>
      <c r="P27" s="3601"/>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601"/>
      <c r="Z27" s="1510" t="str">
        <f t="shared" ref="Z27:Z40" si="13">Q27</f>
        <v>临街状况</v>
      </c>
      <c r="AA27" s="1507">
        <f t="shared" si="3"/>
        <v>1</v>
      </c>
      <c r="AB27" s="1507">
        <f t="shared" si="4"/>
        <v>1</v>
      </c>
      <c r="AC27" s="1507">
        <f t="shared" si="5"/>
        <v>1</v>
      </c>
    </row>
    <row r="28" spans="1:29" ht="27">
      <c r="A28" s="387"/>
      <c r="B28" s="589" t="s">
        <v>2452</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1"/>
      <c r="M28" s="2915"/>
      <c r="N28" s="2915"/>
      <c r="O28" s="2973"/>
      <c r="P28" s="3601"/>
      <c r="Q28" s="1506" t="str">
        <f t="shared" si="8"/>
        <v>毗邻道路的类型与等级</v>
      </c>
      <c r="R28" s="714" t="s">
        <v>17</v>
      </c>
      <c r="S28" s="715">
        <f t="shared" si="10"/>
        <v>100</v>
      </c>
      <c r="T28" s="714" t="s">
        <v>17</v>
      </c>
      <c r="U28" s="715">
        <f t="shared" si="11"/>
        <v>100</v>
      </c>
      <c r="V28" s="714" t="s">
        <v>17</v>
      </c>
      <c r="W28" s="715">
        <f t="shared" si="12"/>
        <v>100</v>
      </c>
      <c r="X28" s="1509"/>
      <c r="Y28" s="3601"/>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21"/>
      <c r="M29" s="2915"/>
      <c r="N29" s="2915"/>
      <c r="O29" s="2973"/>
      <c r="P29" s="3601"/>
      <c r="Q29" s="1506"/>
      <c r="R29" s="714"/>
      <c r="S29" s="715"/>
      <c r="T29" s="714"/>
      <c r="U29" s="715"/>
      <c r="V29" s="714"/>
      <c r="W29" s="715"/>
      <c r="X29" s="1509"/>
      <c r="Y29" s="3601"/>
      <c r="Z29" s="1510"/>
      <c r="AA29" s="1507">
        <v>1</v>
      </c>
      <c r="AB29" s="1507">
        <v>1</v>
      </c>
      <c r="AC29" s="1507">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1"/>
      <c r="M30" s="2915"/>
      <c r="N30" s="2915"/>
      <c r="O30" s="2973"/>
      <c r="P30" s="3601"/>
      <c r="Q30" s="1506" t="str">
        <f t="shared" si="8"/>
        <v>土地级别</v>
      </c>
      <c r="R30" s="714" t="s">
        <v>17</v>
      </c>
      <c r="S30" s="715">
        <f t="shared" si="10"/>
        <v>100</v>
      </c>
      <c r="T30" s="714" t="s">
        <v>17</v>
      </c>
      <c r="U30" s="715">
        <f t="shared" si="11"/>
        <v>100</v>
      </c>
      <c r="V30" s="714" t="s">
        <v>17</v>
      </c>
      <c r="W30" s="715">
        <f t="shared" si="12"/>
        <v>100</v>
      </c>
      <c r="X30" s="1509"/>
      <c r="Y30" s="3601"/>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1"/>
      <c r="M31" s="2915"/>
      <c r="N31" s="2915"/>
      <c r="O31" s="2973"/>
      <c r="P31" s="3601"/>
      <c r="Q31" s="1506">
        <f t="shared" si="8"/>
        <v>111</v>
      </c>
      <c r="R31" s="714" t="s">
        <v>17</v>
      </c>
      <c r="S31" s="715">
        <f t="shared" si="10"/>
        <v>100</v>
      </c>
      <c r="T31" s="714" t="s">
        <v>17</v>
      </c>
      <c r="U31" s="715">
        <f t="shared" si="11"/>
        <v>100</v>
      </c>
      <c r="V31" s="714" t="s">
        <v>17</v>
      </c>
      <c r="W31" s="715">
        <f t="shared" si="12"/>
        <v>100</v>
      </c>
      <c r="X31" s="1509"/>
      <c r="Y31" s="3601"/>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1"/>
      <c r="M32" s="2915"/>
      <c r="N32" s="2915"/>
      <c r="O32" s="2973"/>
      <c r="P32" s="3602" t="s">
        <v>2326</v>
      </c>
      <c r="Q32" s="1506">
        <f t="shared" si="8"/>
        <v>111</v>
      </c>
      <c r="R32" s="714" t="s">
        <v>17</v>
      </c>
      <c r="S32" s="715">
        <f t="shared" si="10"/>
        <v>100</v>
      </c>
      <c r="T32" s="714" t="s">
        <v>17</v>
      </c>
      <c r="U32" s="715">
        <f t="shared" si="11"/>
        <v>100</v>
      </c>
      <c r="V32" s="714" t="s">
        <v>17</v>
      </c>
      <c r="W32" s="715">
        <f t="shared" si="12"/>
        <v>100</v>
      </c>
      <c r="X32" s="1509"/>
      <c r="Y32" s="3603" t="s">
        <v>2326</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20"/>
      <c r="M33" s="2922"/>
      <c r="N33" s="2922"/>
      <c r="O33" s="2974"/>
      <c r="P33" s="3603"/>
      <c r="Q33" s="1506">
        <f t="shared" si="8"/>
        <v>111</v>
      </c>
      <c r="R33" s="717" t="s">
        <v>17</v>
      </c>
      <c r="S33" s="718">
        <f t="shared" si="10"/>
        <v>100</v>
      </c>
      <c r="T33" s="717" t="s">
        <v>17</v>
      </c>
      <c r="U33" s="718">
        <f t="shared" si="11"/>
        <v>100</v>
      </c>
      <c r="V33" s="717" t="s">
        <v>17</v>
      </c>
      <c r="W33" s="718">
        <f t="shared" si="12"/>
        <v>100</v>
      </c>
      <c r="X33" s="719"/>
      <c r="Y33" s="3603"/>
      <c r="Z33" s="720">
        <f t="shared" si="13"/>
        <v>111</v>
      </c>
      <c r="AA33" s="1507">
        <f t="shared" si="3"/>
        <v>1</v>
      </c>
      <c r="AB33" s="1507">
        <f t="shared" si="4"/>
        <v>1</v>
      </c>
      <c r="AC33" s="1507">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1"/>
      <c r="M34" s="2915"/>
      <c r="N34" s="2915"/>
      <c r="O34" s="2973"/>
      <c r="P34" s="3603"/>
      <c r="Q34" s="1506" t="str">
        <f>B34</f>
        <v>宗地面积</v>
      </c>
      <c r="R34" s="714" t="s">
        <v>17</v>
      </c>
      <c r="S34" s="715" t="e">
        <f t="shared" si="10"/>
        <v>#N/A</v>
      </c>
      <c r="T34" s="714" t="s">
        <v>17</v>
      </c>
      <c r="U34" s="715" t="e">
        <f t="shared" si="11"/>
        <v>#N/A</v>
      </c>
      <c r="V34" s="714" t="s">
        <v>17</v>
      </c>
      <c r="W34" s="715" t="e">
        <f t="shared" si="12"/>
        <v>#N/A</v>
      </c>
      <c r="X34" s="1509"/>
      <c r="Y34" s="3603"/>
      <c r="Z34" s="1510" t="str">
        <f t="shared" si="13"/>
        <v>宗地面积</v>
      </c>
      <c r="AA34" s="1507" t="e">
        <f t="shared" si="3"/>
        <v>#N/A</v>
      </c>
      <c r="AB34" s="1507" t="e">
        <f t="shared" si="4"/>
        <v>#N/A</v>
      </c>
      <c r="AC34" s="1507" t="e">
        <f t="shared" si="5"/>
        <v>#N/A</v>
      </c>
    </row>
    <row r="35" spans="1:31" ht="15">
      <c r="A35" s="431"/>
      <c r="B35" s="381" t="s">
        <v>2513</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21"/>
      <c r="M35" s="2915"/>
      <c r="N35" s="2915"/>
      <c r="O35" s="2973"/>
      <c r="P35" s="3603"/>
      <c r="Q35" s="1506" t="str">
        <f t="shared" ref="Q35:Q40" si="14">B35</f>
        <v>宗地形状</v>
      </c>
      <c r="R35" s="714" t="s">
        <v>17</v>
      </c>
      <c r="S35" s="715">
        <f t="shared" si="10"/>
        <v>100</v>
      </c>
      <c r="T35" s="714" t="s">
        <v>17</v>
      </c>
      <c r="U35" s="715">
        <f t="shared" si="11"/>
        <v>100</v>
      </c>
      <c r="V35" s="714" t="s">
        <v>17</v>
      </c>
      <c r="W35" s="715">
        <f t="shared" si="12"/>
        <v>100</v>
      </c>
      <c r="X35" s="1509"/>
      <c r="Y35" s="3603"/>
      <c r="Z35" s="1510" t="str">
        <f t="shared" si="13"/>
        <v>宗地形状</v>
      </c>
      <c r="AA35" s="1507">
        <f t="shared" si="3"/>
        <v>1</v>
      </c>
      <c r="AB35" s="1507">
        <f t="shared" si="4"/>
        <v>1</v>
      </c>
      <c r="AC35" s="1507">
        <f t="shared" si="5"/>
        <v>1</v>
      </c>
    </row>
    <row r="36" spans="1:31" s="113" customFormat="1" ht="15">
      <c r="A36" s="432"/>
      <c r="B36" s="381" t="s">
        <v>2515</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6"/>
      <c r="M36" s="2917"/>
      <c r="N36" s="2917"/>
      <c r="O36" s="2971"/>
      <c r="P36" s="3603"/>
      <c r="Q36" s="1506" t="str">
        <f t="shared" si="14"/>
        <v>宗地开发程度</v>
      </c>
      <c r="R36" s="710" t="s">
        <v>17</v>
      </c>
      <c r="S36" s="711">
        <f t="shared" si="10"/>
        <v>100</v>
      </c>
      <c r="T36" s="710" t="s">
        <v>17</v>
      </c>
      <c r="U36" s="711">
        <f t="shared" si="11"/>
        <v>100</v>
      </c>
      <c r="V36" s="710" t="s">
        <v>17</v>
      </c>
      <c r="W36" s="711">
        <f t="shared" si="12"/>
        <v>100</v>
      </c>
      <c r="X36" s="712"/>
      <c r="Y36" s="3603"/>
      <c r="Z36" s="55" t="str">
        <f t="shared" si="13"/>
        <v>宗地开发程度</v>
      </c>
      <c r="AA36" s="713">
        <f t="shared" si="3"/>
        <v>1</v>
      </c>
      <c r="AB36" s="713">
        <f t="shared" si="4"/>
        <v>1</v>
      </c>
      <c r="AC36" s="713">
        <f t="shared" si="5"/>
        <v>1</v>
      </c>
    </row>
    <row r="37" spans="1:31" ht="15">
      <c r="A37" s="431"/>
      <c r="B37" s="381" t="s">
        <v>2516</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21"/>
      <c r="M37" s="2915"/>
      <c r="N37" s="2915"/>
      <c r="O37" s="2973"/>
      <c r="P37" s="3603" t="s">
        <v>2326</v>
      </c>
      <c r="Q37" s="1506" t="str">
        <f t="shared" si="14"/>
        <v>工程地质条件</v>
      </c>
      <c r="R37" s="714" t="s">
        <v>17</v>
      </c>
      <c r="S37" s="715">
        <f t="shared" si="10"/>
        <v>100</v>
      </c>
      <c r="T37" s="714" t="s">
        <v>17</v>
      </c>
      <c r="U37" s="715">
        <f t="shared" si="11"/>
        <v>100</v>
      </c>
      <c r="V37" s="714" t="s">
        <v>17</v>
      </c>
      <c r="W37" s="715">
        <f t="shared" si="12"/>
        <v>100</v>
      </c>
      <c r="X37" s="1509"/>
      <c r="Y37" s="3603"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1"/>
      <c r="M38" s="2915"/>
      <c r="N38" s="2915"/>
      <c r="O38" s="2973"/>
      <c r="P38" s="3603"/>
      <c r="Q38" s="1506">
        <f t="shared" si="14"/>
        <v>111</v>
      </c>
      <c r="R38" s="714" t="s">
        <v>17</v>
      </c>
      <c r="S38" s="715">
        <f t="shared" si="10"/>
        <v>100</v>
      </c>
      <c r="T38" s="714" t="s">
        <v>17</v>
      </c>
      <c r="U38" s="715">
        <f t="shared" si="11"/>
        <v>100</v>
      </c>
      <c r="V38" s="714" t="s">
        <v>17</v>
      </c>
      <c r="W38" s="715">
        <f t="shared" si="12"/>
        <v>100</v>
      </c>
      <c r="X38" s="1509"/>
      <c r="Y38" s="3603"/>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1"/>
      <c r="M39" s="2915"/>
      <c r="N39" s="2915"/>
      <c r="O39" s="2973"/>
      <c r="P39" s="3603"/>
      <c r="Q39" s="1506">
        <f t="shared" si="14"/>
        <v>111</v>
      </c>
      <c r="R39" s="714" t="s">
        <v>17</v>
      </c>
      <c r="S39" s="715">
        <f t="shared" si="10"/>
        <v>100</v>
      </c>
      <c r="T39" s="714" t="s">
        <v>17</v>
      </c>
      <c r="U39" s="715">
        <f t="shared" si="11"/>
        <v>100</v>
      </c>
      <c r="V39" s="714" t="s">
        <v>17</v>
      </c>
      <c r="W39" s="715">
        <f t="shared" si="12"/>
        <v>100</v>
      </c>
      <c r="X39" s="1509"/>
      <c r="Y39" s="3603"/>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20"/>
      <c r="M40" s="2922"/>
      <c r="N40" s="2922"/>
      <c r="O40" s="2974"/>
      <c r="P40" s="3603"/>
      <c r="Q40" s="1506">
        <f t="shared" si="14"/>
        <v>111</v>
      </c>
      <c r="R40" s="717" t="s">
        <v>17</v>
      </c>
      <c r="S40" s="718">
        <f t="shared" si="10"/>
        <v>100</v>
      </c>
      <c r="T40" s="717" t="s">
        <v>17</v>
      </c>
      <c r="U40" s="718">
        <f t="shared" si="11"/>
        <v>100</v>
      </c>
      <c r="V40" s="717" t="s">
        <v>17</v>
      </c>
      <c r="W40" s="718">
        <f t="shared" si="12"/>
        <v>100</v>
      </c>
      <c r="X40" s="719"/>
      <c r="Y40" s="3603"/>
      <c r="Z40" s="720">
        <f t="shared" si="13"/>
        <v>111</v>
      </c>
      <c r="AA40" s="1507">
        <f t="shared" si="3"/>
        <v>1</v>
      </c>
      <c r="AB40" s="1507">
        <f t="shared" si="4"/>
        <v>1</v>
      </c>
      <c r="AC40" s="1507">
        <f t="shared" si="5"/>
        <v>1</v>
      </c>
    </row>
    <row r="41" spans="1:31" ht="15">
      <c r="A41" s="438" t="s">
        <v>2481</v>
      </c>
      <c r="B41" s="2138" t="s">
        <v>2561</v>
      </c>
      <c r="C41" s="638" t="s">
        <v>1</v>
      </c>
      <c r="D41" s="440"/>
      <c r="E41" s="441"/>
      <c r="F41" s="442"/>
      <c r="G41" s="443"/>
      <c r="H41" s="444"/>
      <c r="I41" s="441"/>
      <c r="J41" s="444"/>
      <c r="K41" s="723"/>
      <c r="L41" s="2923"/>
      <c r="M41" s="2915"/>
      <c r="N41" s="2915"/>
      <c r="O41" s="2924"/>
      <c r="P41" s="3585" t="str">
        <f>A41</f>
        <v>成交单价</v>
      </c>
      <c r="Q41" s="3585"/>
      <c r="R41" s="3598">
        <f>E41</f>
        <v>0</v>
      </c>
      <c r="S41" s="3598"/>
      <c r="T41" s="3598">
        <f>G41</f>
        <v>0</v>
      </c>
      <c r="U41" s="3598"/>
      <c r="V41" s="3598">
        <f>I41</f>
        <v>0</v>
      </c>
      <c r="W41" s="3598"/>
      <c r="X41" s="699"/>
      <c r="Y41" s="721"/>
      <c r="Z41" s="699"/>
      <c r="AA41" s="699"/>
      <c r="AB41" s="699"/>
      <c r="AC41" s="699"/>
    </row>
    <row r="42" spans="1:31" ht="15.75" thickBot="1">
      <c r="A42" s="445" t="s">
        <v>2430</v>
      </c>
      <c r="B42" s="639"/>
      <c r="C42" s="448" t="e">
        <f>R43</f>
        <v>#DIV/0!</v>
      </c>
      <c r="D42" s="2508" t="s">
        <v>2821</v>
      </c>
      <c r="E42" s="448" t="e">
        <f>R42</f>
        <v>#DIV/0!</v>
      </c>
      <c r="F42" s="2509"/>
      <c r="G42" s="447" t="e">
        <f>T42</f>
        <v>#DIV/0!</v>
      </c>
      <c r="H42" s="2509"/>
      <c r="I42" s="448" t="e">
        <f>V42</f>
        <v>#DIV/0!</v>
      </c>
      <c r="J42" s="2509"/>
      <c r="K42" s="2511">
        <f>F42+H42+J42</f>
        <v>0</v>
      </c>
      <c r="L42" s="2923"/>
      <c r="M42" s="2915"/>
      <c r="N42" s="2915"/>
      <c r="O42" s="2924"/>
      <c r="P42" s="3585" t="str">
        <f>A42</f>
        <v>比较价值（元/平方米）</v>
      </c>
      <c r="Q42" s="3585"/>
      <c r="R42" s="3604" t="e">
        <f>ROUND(PRODUCT(R41,AA7:AA40),0)</f>
        <v>#DIV/0!</v>
      </c>
      <c r="S42" s="3604"/>
      <c r="T42" s="3604" t="e">
        <f>ROUND(PRODUCT(T41,AB7:AB40),0)</f>
        <v>#DIV/0!</v>
      </c>
      <c r="U42" s="3604"/>
      <c r="V42" s="3604" t="e">
        <f>ROUND(PRODUCT(V41,AC7:AC40),0)</f>
        <v>#DIV/0!</v>
      </c>
      <c r="W42" s="3604"/>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3"/>
      <c r="M43" s="2915"/>
      <c r="N43" s="2915"/>
      <c r="O43" s="2924"/>
      <c r="P43" s="3605" t="str">
        <f>A43</f>
        <v>估价对象XX用房的比较价值（楼面单价，元/平方米）</v>
      </c>
      <c r="Q43" s="3606"/>
      <c r="R43" s="3607" t="e">
        <f>ROUND(IF(D42="简单平均",AVERAGE(R42:W42),R42*F42+T42*H42+V42*J42),0)</f>
        <v>#DIV/0!</v>
      </c>
      <c r="S43" s="3607"/>
      <c r="T43" s="3607"/>
      <c r="U43" s="3607"/>
      <c r="V43" s="3607"/>
      <c r="W43" s="3607"/>
      <c r="X43" s="699"/>
      <c r="Y43" s="699"/>
      <c r="Z43" s="699"/>
      <c r="AA43" s="699"/>
      <c r="AB43" s="699"/>
      <c r="AC43" s="699"/>
    </row>
    <row r="44" spans="1:31">
      <c r="A44" s="2924"/>
      <c r="B44" s="2924"/>
      <c r="C44" s="2924"/>
      <c r="D44" s="2924"/>
      <c r="E44" s="2924"/>
      <c r="F44" s="2924"/>
      <c r="G44" s="2928"/>
      <c r="H44" s="2924"/>
      <c r="I44" s="2924"/>
      <c r="J44" s="2924"/>
      <c r="K44" s="2929"/>
      <c r="L44" s="2925"/>
      <c r="M44" s="2915"/>
      <c r="N44" s="2915"/>
      <c r="O44" s="2924"/>
      <c r="P44" s="2924"/>
      <c r="Q44" s="2924"/>
      <c r="R44" s="2924"/>
      <c r="S44" s="2924"/>
      <c r="T44" s="2924"/>
      <c r="U44" s="2924"/>
      <c r="V44" s="2924"/>
      <c r="W44" s="2924"/>
      <c r="X44" s="2924"/>
      <c r="Y44" s="2924"/>
      <c r="Z44" s="2924"/>
      <c r="AA44" s="2924"/>
      <c r="AB44" s="2924"/>
      <c r="AC44" s="2924"/>
      <c r="AD44" s="2924"/>
      <c r="AE44" s="2924"/>
    </row>
    <row r="45" spans="1:31">
      <c r="A45" s="2924"/>
      <c r="B45" s="2924"/>
      <c r="C45" s="2924"/>
      <c r="D45" s="2924"/>
      <c r="E45" s="2924"/>
      <c r="F45" s="2924"/>
      <c r="G45" s="2924"/>
      <c r="H45" s="2924"/>
      <c r="I45" s="2924"/>
      <c r="J45" s="2924"/>
      <c r="K45" s="2929"/>
      <c r="L45" s="2925"/>
      <c r="M45" s="2915"/>
      <c r="N45" s="2915"/>
      <c r="O45" s="2924"/>
      <c r="P45" s="2924"/>
      <c r="Q45" s="2924"/>
      <c r="R45" s="2924"/>
      <c r="S45" s="2924"/>
      <c r="T45" s="2924"/>
      <c r="U45" s="2924"/>
      <c r="V45" s="2924"/>
      <c r="W45" s="2924"/>
      <c r="X45" s="2924"/>
      <c r="Y45" s="2924"/>
      <c r="Z45" s="2924"/>
      <c r="AA45" s="2924"/>
      <c r="AB45" s="2924"/>
      <c r="AC45" s="2924"/>
      <c r="AD45" s="2924"/>
      <c r="AE45" s="2924"/>
    </row>
    <row r="46" spans="1:31" ht="13.5" customHeight="1">
      <c r="A46" s="2924"/>
      <c r="B46" s="2924"/>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2925"/>
      <c r="M46" s="2915"/>
      <c r="N46" s="2915"/>
      <c r="O46" s="2924"/>
      <c r="P46" s="2924"/>
      <c r="Q46" s="2924"/>
      <c r="R46" s="2924"/>
      <c r="S46" s="2924"/>
      <c r="T46" s="2924"/>
      <c r="U46" s="2924"/>
      <c r="V46" s="2924"/>
      <c r="W46" s="2924"/>
      <c r="X46" s="2924"/>
      <c r="Y46" s="2924"/>
      <c r="Z46" s="2924"/>
      <c r="AA46" s="2924"/>
      <c r="AB46" s="2924"/>
      <c r="AC46" s="2924"/>
      <c r="AD46" s="2924"/>
      <c r="AE46" s="2924"/>
    </row>
    <row r="47" spans="1:31" ht="13.5" customHeight="1">
      <c r="A47" s="2924"/>
      <c r="B47" s="2924"/>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2925"/>
      <c r="M47" s="2924"/>
      <c r="N47" s="2924"/>
      <c r="O47" s="2924"/>
      <c r="P47" s="2924"/>
      <c r="Q47" s="2924"/>
      <c r="R47" s="2924"/>
      <c r="S47" s="2924"/>
      <c r="T47" s="2924"/>
      <c r="U47" s="2924"/>
      <c r="V47" s="2924"/>
      <c r="W47" s="2924"/>
      <c r="X47" s="2924"/>
      <c r="Y47" s="2924"/>
      <c r="Z47" s="2924"/>
      <c r="AA47" s="2924"/>
      <c r="AB47" s="2924"/>
      <c r="AC47" s="2924"/>
      <c r="AD47" s="2924"/>
      <c r="AE47" s="2924"/>
    </row>
    <row r="48" spans="1:31" s="459" customFormat="1" ht="13.5" customHeight="1">
      <c r="A48" s="2927"/>
      <c r="B48" s="2927"/>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2926"/>
      <c r="M48" s="2927"/>
      <c r="N48" s="2927"/>
      <c r="O48" s="2927"/>
      <c r="P48" s="2927"/>
      <c r="Q48" s="2927"/>
      <c r="R48" s="2927"/>
      <c r="S48" s="2927"/>
      <c r="T48" s="2927"/>
      <c r="U48" s="2927"/>
      <c r="V48" s="2927"/>
      <c r="W48" s="2927"/>
      <c r="X48" s="2927"/>
      <c r="Y48" s="2927"/>
      <c r="Z48" s="2927"/>
      <c r="AA48" s="2927"/>
      <c r="AB48" s="2927"/>
      <c r="AC48" s="2927"/>
      <c r="AD48" s="2927"/>
      <c r="AE48" s="2927"/>
    </row>
    <row r="49" spans="1:31" s="459" customFormat="1" ht="15" thickBot="1">
      <c r="A49" s="2927"/>
      <c r="B49" s="2930"/>
      <c r="C49" s="702"/>
      <c r="D49" s="700"/>
      <c r="E49" s="700"/>
      <c r="F49" s="700"/>
      <c r="G49" s="700"/>
      <c r="H49" s="700"/>
      <c r="I49" s="700"/>
      <c r="J49" s="700"/>
      <c r="K49" s="2932"/>
      <c r="L49" s="2926"/>
      <c r="M49" s="2927"/>
      <c r="N49" s="2927"/>
      <c r="O49" s="2927"/>
      <c r="P49" s="2927"/>
      <c r="Q49" s="2927"/>
      <c r="R49" s="2927"/>
      <c r="S49" s="2927"/>
      <c r="T49" s="2927"/>
      <c r="U49" s="2927"/>
      <c r="V49" s="2927"/>
      <c r="W49" s="2927"/>
      <c r="X49" s="2927"/>
      <c r="Y49" s="2927"/>
      <c r="Z49" s="2927"/>
      <c r="AA49" s="2927"/>
      <c r="AB49" s="2927"/>
      <c r="AC49" s="2927"/>
      <c r="AD49" s="2927"/>
      <c r="AE49" s="2927"/>
    </row>
    <row r="50" spans="1:31" ht="27">
      <c r="A50" s="640" t="s">
        <v>2519</v>
      </c>
      <c r="B50" s="641" t="s">
        <v>2520</v>
      </c>
      <c r="C50" s="2139" t="s">
        <v>2521</v>
      </c>
      <c r="D50" s="2140" t="s">
        <v>2522</v>
      </c>
      <c r="E50" s="642" t="s">
        <v>2523</v>
      </c>
      <c r="F50" s="643" t="s">
        <v>2524</v>
      </c>
      <c r="G50" s="3586" t="s">
        <v>2525</v>
      </c>
      <c r="H50" s="3608"/>
      <c r="I50" s="1510" t="s">
        <v>2562</v>
      </c>
      <c r="J50" s="1510">
        <f>项目基本情况!F35</f>
        <v>0</v>
      </c>
      <c r="K50" s="2142" t="s">
        <v>2527</v>
      </c>
      <c r="L50" s="2925"/>
      <c r="M50" s="2924"/>
      <c r="N50" s="2924"/>
      <c r="O50" s="2924"/>
      <c r="P50" s="2924"/>
      <c r="Q50" s="2924"/>
      <c r="R50" s="2924"/>
      <c r="S50" s="2924"/>
      <c r="T50" s="2924"/>
      <c r="U50" s="2924"/>
      <c r="V50" s="2924"/>
      <c r="W50" s="2924"/>
      <c r="X50" s="2924"/>
      <c r="Y50" s="2924"/>
      <c r="Z50" s="2924"/>
      <c r="AA50" s="2924"/>
      <c r="AB50" s="2924"/>
      <c r="AC50" s="2924"/>
      <c r="AD50" s="2924"/>
      <c r="AE50" s="2924"/>
    </row>
    <row r="51" spans="1:31" s="648" customFormat="1">
      <c r="A51" s="644" t="s">
        <v>2528</v>
      </c>
      <c r="B51" s="645" t="e">
        <f>C43</f>
        <v>#DIV/0!</v>
      </c>
      <c r="C51" s="646">
        <v>1</v>
      </c>
      <c r="D51" s="1075">
        <v>1</v>
      </c>
      <c r="E51" s="646">
        <f>'数据-汇总表'!E8+'数据-汇总表'!E9</f>
        <v>51169.8</v>
      </c>
      <c r="F51" s="647" t="e">
        <f t="shared" ref="F51:F60" si="15">ROUND(B51*E51/10000,0)</f>
        <v>#DIV/0!</v>
      </c>
      <c r="G51" s="3609"/>
      <c r="H51" s="3585"/>
      <c r="I51" s="879">
        <v>1</v>
      </c>
      <c r="J51" s="879">
        <v>1</v>
      </c>
      <c r="K51" s="2927"/>
      <c r="L51" s="2981"/>
      <c r="M51" s="2981"/>
      <c r="N51" s="2981"/>
      <c r="O51" s="2981"/>
      <c r="P51" s="2981"/>
      <c r="Q51" s="2981"/>
      <c r="R51" s="2981"/>
      <c r="S51" s="2981"/>
      <c r="T51" s="2981"/>
      <c r="U51" s="2981"/>
      <c r="V51" s="2981"/>
      <c r="W51" s="2981"/>
      <c r="X51" s="2981"/>
      <c r="Y51" s="2981"/>
      <c r="Z51" s="2981"/>
      <c r="AA51" s="2981"/>
      <c r="AB51" s="2981"/>
      <c r="AC51" s="2981"/>
      <c r="AD51" s="2981"/>
      <c r="AE51" s="2981"/>
    </row>
    <row r="52" spans="1:31" s="648" customFormat="1">
      <c r="A52" s="649" t="s">
        <v>2529</v>
      </c>
      <c r="B52" s="224" t="e">
        <f>ROUND($C$43*C52*D52,0)</f>
        <v>#DIV/0!</v>
      </c>
      <c r="C52" s="176">
        <f t="shared" ref="C52:C60" si="16">IF($C$50="北京市系数",I52,J52)</f>
        <v>0</v>
      </c>
      <c r="D52" s="1076">
        <v>0.25</v>
      </c>
      <c r="E52" s="650"/>
      <c r="F52" s="647" t="e">
        <f t="shared" si="15"/>
        <v>#DIV/0!</v>
      </c>
      <c r="G52" s="3610" t="s">
        <v>2530</v>
      </c>
      <c r="H52" s="1018">
        <f>项目基本情况!B37</f>
        <v>0</v>
      </c>
      <c r="I52" s="879">
        <f>SUMIF(修正!A45:A56,H52,修正!B45:B56)</f>
        <v>0</v>
      </c>
      <c r="J52" s="880"/>
      <c r="K52" s="2924"/>
      <c r="L52" s="2981"/>
      <c r="M52" s="2981"/>
      <c r="N52" s="2981"/>
      <c r="O52" s="2981"/>
      <c r="P52" s="2981"/>
      <c r="Q52" s="2981"/>
      <c r="R52" s="2981"/>
      <c r="S52" s="2981"/>
      <c r="T52" s="2981"/>
      <c r="U52" s="2981"/>
      <c r="V52" s="2981"/>
      <c r="W52" s="2981"/>
      <c r="X52" s="2981"/>
      <c r="Y52" s="2981"/>
      <c r="Z52" s="2981"/>
      <c r="AA52" s="2981"/>
      <c r="AB52" s="2981"/>
      <c r="AC52" s="2981"/>
      <c r="AD52" s="2981"/>
      <c r="AE52" s="2981"/>
    </row>
    <row r="53" spans="1:31" s="648" customFormat="1">
      <c r="A53" s="649" t="s">
        <v>2531</v>
      </c>
      <c r="B53" s="224" t="e">
        <f t="shared" ref="B53:B60" si="17">ROUND($C$43*C53*D53,0)</f>
        <v>#DIV/0!</v>
      </c>
      <c r="C53" s="176">
        <f t="shared" si="16"/>
        <v>0</v>
      </c>
      <c r="D53" s="1076">
        <v>0.25</v>
      </c>
      <c r="E53" s="650"/>
      <c r="F53" s="647" t="e">
        <f t="shared" si="15"/>
        <v>#DIV/0!</v>
      </c>
      <c r="G53" s="3610"/>
      <c r="H53" s="1018">
        <f>项目基本情况!B37</f>
        <v>0</v>
      </c>
      <c r="I53" s="879">
        <f>SUMIF(修正!A45:A56,H53,修正!C45:C56)</f>
        <v>0</v>
      </c>
      <c r="J53" s="880"/>
      <c r="K53" s="2927"/>
      <c r="L53" s="2981"/>
      <c r="M53" s="2981"/>
      <c r="N53" s="2981"/>
      <c r="O53" s="2981"/>
      <c r="P53" s="2981"/>
      <c r="Q53" s="2981"/>
      <c r="R53" s="2981"/>
      <c r="S53" s="2981"/>
      <c r="T53" s="2981"/>
      <c r="U53" s="2981"/>
      <c r="V53" s="2981"/>
      <c r="W53" s="2981"/>
      <c r="X53" s="2981"/>
      <c r="Y53" s="2981"/>
      <c r="Z53" s="2981"/>
      <c r="AA53" s="2981"/>
      <c r="AB53" s="2981"/>
      <c r="AC53" s="2981"/>
      <c r="AD53" s="2981"/>
      <c r="AE53" s="2981"/>
    </row>
    <row r="54" spans="1:31" s="648" customFormat="1">
      <c r="A54" s="649" t="s">
        <v>2532</v>
      </c>
      <c r="B54" s="224" t="e">
        <f t="shared" si="17"/>
        <v>#DIV/0!</v>
      </c>
      <c r="C54" s="176">
        <f t="shared" si="16"/>
        <v>0</v>
      </c>
      <c r="D54" s="1076">
        <v>0.25</v>
      </c>
      <c r="E54" s="650"/>
      <c r="F54" s="647" t="e">
        <f t="shared" si="15"/>
        <v>#DIV/0!</v>
      </c>
      <c r="G54" s="3610"/>
      <c r="H54" s="1018">
        <f>项目基本情况!B37</f>
        <v>0</v>
      </c>
      <c r="I54" s="879">
        <f>SUMIF(修正!A45:A56,H54,修正!D45:D56)</f>
        <v>0</v>
      </c>
      <c r="J54" s="880"/>
      <c r="K54" s="2924"/>
      <c r="L54" s="2981"/>
      <c r="M54" s="2981"/>
      <c r="N54" s="2981"/>
      <c r="O54" s="2981"/>
      <c r="P54" s="2981"/>
      <c r="Q54" s="2981"/>
      <c r="R54" s="2981"/>
      <c r="S54" s="2981"/>
      <c r="T54" s="2981"/>
      <c r="U54" s="2981"/>
      <c r="V54" s="2981"/>
      <c r="W54" s="2981"/>
      <c r="X54" s="2981"/>
      <c r="Y54" s="2981"/>
      <c r="Z54" s="2981"/>
      <c r="AA54" s="2981"/>
      <c r="AB54" s="2981"/>
      <c r="AC54" s="2981"/>
      <c r="AD54" s="2981"/>
      <c r="AE54" s="2981"/>
    </row>
    <row r="55" spans="1:31" s="648" customFormat="1">
      <c r="A55" s="649" t="s">
        <v>2533</v>
      </c>
      <c r="B55" s="224" t="e">
        <f t="shared" si="17"/>
        <v>#DIV/0!</v>
      </c>
      <c r="C55" s="176">
        <f t="shared" si="16"/>
        <v>0</v>
      </c>
      <c r="D55" s="1076">
        <v>0.25</v>
      </c>
      <c r="E55" s="650"/>
      <c r="F55" s="647" t="e">
        <f t="shared" si="15"/>
        <v>#DIV/0!</v>
      </c>
      <c r="G55" s="3610"/>
      <c r="H55" s="1018">
        <f>项目基本情况!B37</f>
        <v>0</v>
      </c>
      <c r="I55" s="879">
        <f>SUMIF(修正!A45:A56,H55,修正!E45:E56)</f>
        <v>0</v>
      </c>
      <c r="J55" s="880"/>
      <c r="K55" s="2927"/>
      <c r="L55" s="2981"/>
      <c r="M55" s="2981"/>
      <c r="N55" s="2981"/>
      <c r="O55" s="2981"/>
      <c r="P55" s="2981"/>
      <c r="Q55" s="2981"/>
      <c r="R55" s="2981"/>
      <c r="S55" s="2981"/>
      <c r="T55" s="2981"/>
      <c r="U55" s="2981"/>
      <c r="V55" s="2981"/>
      <c r="W55" s="2981"/>
      <c r="X55" s="2981"/>
      <c r="Y55" s="2981"/>
      <c r="Z55" s="2981"/>
      <c r="AA55" s="2981"/>
      <c r="AB55" s="2981"/>
      <c r="AC55" s="2981"/>
      <c r="AD55" s="2981"/>
      <c r="AE55" s="2981"/>
    </row>
    <row r="56" spans="1:31" s="648" customFormat="1">
      <c r="A56" s="649" t="s">
        <v>2534</v>
      </c>
      <c r="B56" s="224" t="e">
        <f t="shared" si="17"/>
        <v>#DIV/0!</v>
      </c>
      <c r="C56" s="176">
        <f t="shared" si="16"/>
        <v>0</v>
      </c>
      <c r="D56" s="1076">
        <v>0.25</v>
      </c>
      <c r="E56" s="223">
        <f>'数据-汇总表'!E11</f>
        <v>0</v>
      </c>
      <c r="F56" s="647" t="e">
        <f t="shared" si="15"/>
        <v>#DIV/0!</v>
      </c>
      <c r="G56" s="2143" t="s">
        <v>2535</v>
      </c>
      <c r="H56" s="1018">
        <f>项目基本情况!C37</f>
        <v>0</v>
      </c>
      <c r="I56" s="879">
        <f>SUMIF(修正!A45:A56,H56,修正!F45:F56)</f>
        <v>0</v>
      </c>
      <c r="J56" s="880"/>
      <c r="K56" s="2924"/>
      <c r="L56" s="2981"/>
      <c r="M56" s="2981"/>
      <c r="N56" s="2981"/>
      <c r="O56" s="2981"/>
      <c r="P56" s="2981"/>
      <c r="Q56" s="2981"/>
      <c r="R56" s="2981"/>
      <c r="S56" s="2981"/>
      <c r="T56" s="2981"/>
      <c r="U56" s="2981"/>
      <c r="V56" s="2981"/>
      <c r="W56" s="2981"/>
      <c r="X56" s="2981"/>
      <c r="Y56" s="2981"/>
      <c r="Z56" s="2981"/>
      <c r="AA56" s="2981"/>
      <c r="AB56" s="2981"/>
      <c r="AC56" s="2981"/>
      <c r="AD56" s="2981"/>
      <c r="AE56" s="2981"/>
    </row>
    <row r="57" spans="1:31" s="648" customFormat="1">
      <c r="A57" s="649" t="s">
        <v>2536</v>
      </c>
      <c r="B57" s="224" t="e">
        <f t="shared" si="17"/>
        <v>#DIV/0!</v>
      </c>
      <c r="C57" s="176">
        <f t="shared" si="16"/>
        <v>0</v>
      </c>
      <c r="D57" s="1076">
        <v>0.25</v>
      </c>
      <c r="E57" s="223">
        <f>'数据-汇总表'!E12</f>
        <v>0</v>
      </c>
      <c r="F57" s="647" t="e">
        <f t="shared" si="15"/>
        <v>#DIV/0!</v>
      </c>
      <c r="G57" s="1023" t="s">
        <v>2537</v>
      </c>
      <c r="H57" s="1018">
        <f>IF(G57="商业",项目基本情况!B37,IF(G57="办公",项目基本情况!C37,IF(G57="住宅",项目基本情况!D37,项目基本情况!E37)))</f>
        <v>0</v>
      </c>
      <c r="I57" s="879">
        <f>SUMIF(修正!A45:A56,H57,修正!G45:G56)</f>
        <v>0</v>
      </c>
      <c r="J57" s="880"/>
      <c r="K57" s="2927"/>
      <c r="L57" s="2981"/>
      <c r="M57" s="2981"/>
      <c r="N57" s="2981"/>
      <c r="O57" s="2981"/>
      <c r="P57" s="2981"/>
      <c r="Q57" s="2981"/>
      <c r="R57" s="2981"/>
      <c r="S57" s="2981"/>
      <c r="T57" s="2981"/>
      <c r="U57" s="2981"/>
      <c r="V57" s="2981"/>
      <c r="W57" s="2981"/>
      <c r="X57" s="2981"/>
      <c r="Y57" s="2981"/>
      <c r="Z57" s="2981"/>
      <c r="AA57" s="2981"/>
      <c r="AB57" s="2981"/>
      <c r="AC57" s="2981"/>
      <c r="AD57" s="2981"/>
      <c r="AE57" s="2981"/>
    </row>
    <row r="58" spans="1:31" s="648" customFormat="1">
      <c r="A58" s="649" t="s">
        <v>2538</v>
      </c>
      <c r="B58" s="224" t="e">
        <f t="shared" si="17"/>
        <v>#DIV/0!</v>
      </c>
      <c r="C58" s="176">
        <f t="shared" si="16"/>
        <v>0</v>
      </c>
      <c r="D58" s="1076">
        <v>0.25</v>
      </c>
      <c r="E58" s="223">
        <f>'数据-汇总表'!E13</f>
        <v>0</v>
      </c>
      <c r="F58" s="647" t="e">
        <f t="shared" si="15"/>
        <v>#DIV/0!</v>
      </c>
      <c r="G58" s="1023" t="s">
        <v>2539</v>
      </c>
      <c r="H58" s="1018">
        <f>IF(G58="商业",项目基本情况!B37,IF(G58="办公",项目基本情况!C37,IF(G58="住宅",项目基本情况!D37,项目基本情况!E37)))</f>
        <v>0</v>
      </c>
      <c r="I58" s="879">
        <f>SUMIF(修正!A45:A56,H58,修正!H45:H56)</f>
        <v>0</v>
      </c>
      <c r="J58" s="880"/>
      <c r="K58" s="2924"/>
      <c r="L58" s="2981"/>
      <c r="M58" s="2981"/>
      <c r="N58" s="2981"/>
      <c r="O58" s="2981"/>
      <c r="P58" s="2981"/>
      <c r="Q58" s="2981"/>
      <c r="R58" s="2981"/>
      <c r="S58" s="2981"/>
      <c r="T58" s="2981"/>
      <c r="U58" s="2981"/>
      <c r="V58" s="2981"/>
      <c r="W58" s="2981"/>
      <c r="X58" s="2981"/>
      <c r="Y58" s="2981"/>
      <c r="Z58" s="2981"/>
      <c r="AA58" s="2981"/>
      <c r="AB58" s="2981"/>
      <c r="AC58" s="2981"/>
      <c r="AD58" s="2981"/>
      <c r="AE58" s="2981"/>
    </row>
    <row r="59" spans="1:31" s="648" customFormat="1">
      <c r="A59" s="649" t="s">
        <v>2540</v>
      </c>
      <c r="B59" s="224" t="e">
        <f t="shared" si="17"/>
        <v>#DIV/0!</v>
      </c>
      <c r="C59" s="176">
        <f t="shared" si="16"/>
        <v>0</v>
      </c>
      <c r="D59" s="1076">
        <v>0.25</v>
      </c>
      <c r="E59" s="223">
        <f>'数据-汇总表'!E14</f>
        <v>351.21</v>
      </c>
      <c r="F59" s="647" t="e">
        <f t="shared" si="15"/>
        <v>#DIV/0!</v>
      </c>
      <c r="G59" s="2143" t="s">
        <v>2530</v>
      </c>
      <c r="H59" s="1018">
        <f>项目基本情况!B37</f>
        <v>0</v>
      </c>
      <c r="I59" s="879">
        <f>SUMIF(修正!A45:A56,H59,修正!H45:H56)</f>
        <v>0</v>
      </c>
      <c r="J59" s="880"/>
      <c r="K59" s="2927"/>
      <c r="L59" s="2981"/>
      <c r="M59" s="2981"/>
      <c r="N59" s="2981"/>
      <c r="O59" s="2981"/>
      <c r="P59" s="2981"/>
      <c r="Q59" s="2981"/>
      <c r="R59" s="2981"/>
      <c r="S59" s="2981"/>
      <c r="T59" s="2981"/>
      <c r="U59" s="2981"/>
      <c r="V59" s="2981"/>
      <c r="W59" s="2981"/>
      <c r="X59" s="2981"/>
      <c r="Y59" s="2981"/>
      <c r="Z59" s="2981"/>
      <c r="AA59" s="2981"/>
      <c r="AB59" s="2981"/>
      <c r="AC59" s="2981"/>
      <c r="AD59" s="2981"/>
      <c r="AE59" s="2981"/>
    </row>
    <row r="60" spans="1:31" s="648" customFormat="1" ht="15" thickBot="1">
      <c r="A60" s="649" t="s">
        <v>2541</v>
      </c>
      <c r="B60" s="224" t="e">
        <f t="shared" si="17"/>
        <v>#DIV/0!</v>
      </c>
      <c r="C60" s="176">
        <f t="shared" si="16"/>
        <v>0</v>
      </c>
      <c r="D60" s="1076">
        <v>0.25</v>
      </c>
      <c r="E60" s="223">
        <f>'数据-汇总表'!E15</f>
        <v>0</v>
      </c>
      <c r="F60" s="647" t="e">
        <f t="shared" si="15"/>
        <v>#DIV/0!</v>
      </c>
      <c r="G60" s="2144" t="s">
        <v>2535</v>
      </c>
      <c r="H60" s="1028">
        <f>项目基本情况!C37</f>
        <v>0</v>
      </c>
      <c r="I60" s="879">
        <f>SUMIF(修正!A45:A56,H60,修正!H45:H56)</f>
        <v>0</v>
      </c>
      <c r="J60" s="880"/>
      <c r="K60" s="2924"/>
      <c r="L60" s="2981"/>
      <c r="M60" s="2981"/>
      <c r="N60" s="2981"/>
      <c r="O60" s="2981"/>
      <c r="P60" s="2981"/>
      <c r="Q60" s="2981"/>
      <c r="R60" s="2981"/>
      <c r="S60" s="2981"/>
      <c r="T60" s="2981"/>
      <c r="U60" s="2981"/>
      <c r="V60" s="2981"/>
      <c r="W60" s="2981"/>
      <c r="X60" s="2981"/>
      <c r="Y60" s="2981"/>
      <c r="Z60" s="2981"/>
      <c r="AA60" s="2981"/>
      <c r="AB60" s="2981"/>
      <c r="AC60" s="2981"/>
      <c r="AD60" s="2981"/>
      <c r="AE60" s="2981"/>
    </row>
    <row r="61" spans="1:31" s="648" customFormat="1" ht="15" thickBot="1">
      <c r="A61" s="651" t="s">
        <v>2542</v>
      </c>
      <c r="B61" s="652" t="s">
        <v>28</v>
      </c>
      <c r="C61" s="652" t="s">
        <v>29</v>
      </c>
      <c r="D61" s="652" t="s">
        <v>997</v>
      </c>
      <c r="E61" s="652">
        <f>IF(B41="楼面地价",SUM(E51:E60),'数据-汇总表'!D3)</f>
        <v>20467.919999999998</v>
      </c>
      <c r="F61" s="653" t="e">
        <f>IF(B41="楼面地价",SUM(F51:F60),ROUND(C43*E61/10000,0))</f>
        <v>#DIV/0!</v>
      </c>
      <c r="G61" s="1070"/>
      <c r="H61" s="1070"/>
      <c r="I61" s="1070"/>
      <c r="J61" s="1070"/>
      <c r="K61" s="2929"/>
      <c r="L61" s="2981"/>
      <c r="M61" s="2981"/>
      <c r="N61" s="2981"/>
      <c r="O61" s="2981"/>
      <c r="P61" s="2981"/>
      <c r="Q61" s="2981"/>
      <c r="R61" s="2981"/>
      <c r="S61" s="2981"/>
      <c r="T61" s="2981"/>
      <c r="U61" s="2981"/>
      <c r="V61" s="2981"/>
      <c r="W61" s="2981"/>
      <c r="X61" s="2981"/>
      <c r="Y61" s="2981"/>
      <c r="Z61" s="2981"/>
      <c r="AA61" s="2981"/>
      <c r="AB61" s="2981"/>
      <c r="AC61" s="2981"/>
      <c r="AD61" s="2981"/>
      <c r="AE61" s="2981"/>
    </row>
    <row r="62" spans="1:31">
      <c r="A62" s="1058"/>
      <c r="B62" s="1060"/>
      <c r="C62" s="1062"/>
      <c r="D62" s="1058"/>
      <c r="E62" s="1058"/>
      <c r="F62" s="1058"/>
      <c r="G62" s="1058"/>
      <c r="H62" s="1058"/>
      <c r="I62" s="1058"/>
      <c r="J62" s="1058"/>
      <c r="K62" s="1019"/>
      <c r="L62" s="1020"/>
      <c r="M62" s="1058"/>
      <c r="N62" s="1058"/>
      <c r="O62" s="1058"/>
      <c r="P62" s="2924"/>
      <c r="Q62" s="2924"/>
      <c r="R62" s="2924"/>
      <c r="S62" s="2924"/>
      <c r="T62" s="2924"/>
      <c r="U62" s="2924"/>
      <c r="V62" s="2924"/>
      <c r="W62" s="2924"/>
      <c r="X62" s="2924"/>
      <c r="Y62" s="2924"/>
      <c r="Z62" s="2924"/>
      <c r="AA62" s="2924"/>
      <c r="AB62" s="2924"/>
      <c r="AC62" s="2924"/>
      <c r="AD62" s="2924"/>
      <c r="AE62" s="2924"/>
    </row>
    <row r="63" spans="1:31">
      <c r="A63" s="1058"/>
      <c r="B63" s="1060"/>
      <c r="C63" s="701" t="str">
        <f>YEAR(C7)&amp;"-"&amp;MONTH(C7)&amp;"-1"</f>
        <v>2021-12-1</v>
      </c>
      <c r="D63" s="701">
        <f>EDATE(C63,-3)</f>
        <v>44440</v>
      </c>
      <c r="E63" s="701">
        <f>EDATE(D63,-3)</f>
        <v>44348</v>
      </c>
      <c r="F63" s="701">
        <f t="shared" ref="F63:O63" si="18">EDATE(E63,-3)</f>
        <v>44256</v>
      </c>
      <c r="G63" s="701">
        <f t="shared" si="18"/>
        <v>44166</v>
      </c>
      <c r="H63" s="701">
        <f t="shared" si="18"/>
        <v>44075</v>
      </c>
      <c r="I63" s="701">
        <f t="shared" si="18"/>
        <v>43983</v>
      </c>
      <c r="J63" s="701">
        <f t="shared" si="18"/>
        <v>43891</v>
      </c>
      <c r="K63" s="701">
        <f t="shared" si="18"/>
        <v>43800</v>
      </c>
      <c r="L63" s="701">
        <f t="shared" si="18"/>
        <v>43709</v>
      </c>
      <c r="M63" s="701">
        <f t="shared" si="18"/>
        <v>43617</v>
      </c>
      <c r="N63" s="701">
        <f t="shared" si="18"/>
        <v>43525</v>
      </c>
      <c r="O63" s="701">
        <f t="shared" si="18"/>
        <v>43435</v>
      </c>
      <c r="P63" s="2924"/>
      <c r="Q63" s="2924"/>
      <c r="R63" s="2924"/>
      <c r="S63" s="2924"/>
      <c r="T63" s="2924"/>
      <c r="U63" s="2924"/>
      <c r="V63" s="2924"/>
      <c r="W63" s="2924"/>
      <c r="X63" s="2924"/>
      <c r="Y63" s="2924"/>
      <c r="Z63" s="2924"/>
      <c r="AA63" s="2924"/>
      <c r="AB63" s="2924"/>
      <c r="AC63" s="2924"/>
      <c r="AD63" s="2924"/>
      <c r="AE63" s="2924"/>
    </row>
    <row r="64" spans="1:31" ht="21.75" thickBot="1">
      <c r="A64" s="703" t="s">
        <v>2435</v>
      </c>
      <c r="B64" s="699"/>
      <c r="C64" s="704"/>
      <c r="D64" s="704"/>
      <c r="E64" s="704"/>
      <c r="F64" s="705"/>
      <c r="G64" s="705"/>
      <c r="H64" s="704"/>
      <c r="I64" s="704"/>
      <c r="J64" s="704"/>
      <c r="K64" s="706"/>
      <c r="L64" s="707"/>
      <c r="M64" s="704"/>
      <c r="N64" s="704"/>
      <c r="O64" s="1071"/>
      <c r="P64" s="2968"/>
      <c r="Q64" s="2938"/>
      <c r="R64" s="2924"/>
      <c r="S64" s="2924"/>
      <c r="T64" s="2924"/>
      <c r="U64" s="2924"/>
      <c r="V64" s="2924"/>
      <c r="W64" s="2924"/>
      <c r="X64" s="2924"/>
      <c r="Y64" s="2924"/>
      <c r="Z64" s="2924"/>
      <c r="AA64" s="2924"/>
      <c r="AB64" s="2924"/>
      <c r="AC64" s="2924"/>
      <c r="AD64" s="2924"/>
      <c r="AE64" s="2924"/>
    </row>
    <row r="65" spans="1:31" s="465" customFormat="1" ht="15">
      <c r="A65" s="2145" t="s">
        <v>2543</v>
      </c>
      <c r="B65" s="1241"/>
      <c r="C65" s="1316" t="str">
        <f>YEAR(C63)&amp;"-"&amp;ROUNDUP(MONTH(C63)/3,0)</f>
        <v>2021-4</v>
      </c>
      <c r="D65" s="1316" t="str">
        <f t="shared" ref="D65:O65" si="19">YEAR(D63)&amp;"-"&amp;ROUNDUP(MONTH(D63)/3,0)</f>
        <v>2021-3</v>
      </c>
      <c r="E65" s="1316" t="str">
        <f t="shared" si="19"/>
        <v>2021-2</v>
      </c>
      <c r="F65" s="1316" t="str">
        <f t="shared" si="19"/>
        <v>2021-1</v>
      </c>
      <c r="G65" s="1316" t="str">
        <f t="shared" si="19"/>
        <v>2020-4</v>
      </c>
      <c r="H65" s="1316" t="str">
        <f t="shared" si="19"/>
        <v>2020-3</v>
      </c>
      <c r="I65" s="1316" t="str">
        <f t="shared" si="19"/>
        <v>2020-2</v>
      </c>
      <c r="J65" s="1316" t="str">
        <f t="shared" si="19"/>
        <v>2020-1</v>
      </c>
      <c r="K65" s="1316" t="str">
        <f t="shared" si="19"/>
        <v>2019-4</v>
      </c>
      <c r="L65" s="1316" t="str">
        <f t="shared" si="19"/>
        <v>2019-3</v>
      </c>
      <c r="M65" s="1316" t="str">
        <f t="shared" si="19"/>
        <v>2019-2</v>
      </c>
      <c r="N65" s="1316" t="str">
        <f t="shared" si="19"/>
        <v>2019-1</v>
      </c>
      <c r="O65" s="1316" t="str">
        <f t="shared" si="19"/>
        <v>2018-4</v>
      </c>
      <c r="P65" s="2975"/>
      <c r="Q65" s="2940"/>
      <c r="R65" s="2940"/>
      <c r="S65" s="2940"/>
      <c r="T65" s="2940"/>
      <c r="U65" s="2940"/>
      <c r="V65" s="2940"/>
      <c r="W65" s="2940"/>
      <c r="X65" s="2940"/>
      <c r="Y65" s="2940"/>
      <c r="Z65" s="2940"/>
      <c r="AA65" s="2940"/>
      <c r="AB65" s="2940"/>
      <c r="AC65" s="2940"/>
      <c r="AD65" s="2940"/>
      <c r="AE65" s="2940"/>
    </row>
    <row r="66" spans="1:31" s="113" customFormat="1" ht="30.75" customHeight="1">
      <c r="A66" s="2150" t="s">
        <v>2563</v>
      </c>
      <c r="B66" s="294" t="str">
        <f>"北京市平均增长率"&amp;TEXT(基准地价修正!P24,"0.00%")</f>
        <v>北京市平均增长率1.22%</v>
      </c>
      <c r="C66" s="560">
        <v>100</v>
      </c>
      <c r="D66" s="552"/>
      <c r="E66" s="552"/>
      <c r="F66" s="552"/>
      <c r="G66" s="552"/>
      <c r="H66" s="552"/>
      <c r="I66" s="552"/>
      <c r="J66" s="552"/>
      <c r="K66" s="552"/>
      <c r="L66" s="552"/>
      <c r="M66" s="1312"/>
      <c r="N66" s="1312"/>
      <c r="O66" s="1314"/>
      <c r="P66" s="2938"/>
      <c r="Q66" s="2858"/>
      <c r="R66" s="2858"/>
      <c r="S66" s="2858"/>
      <c r="T66" s="2858"/>
      <c r="U66" s="2858"/>
      <c r="V66" s="2858"/>
      <c r="W66" s="2858"/>
      <c r="X66" s="2858"/>
      <c r="Y66" s="2858"/>
      <c r="Z66" s="2858"/>
      <c r="AA66" s="2858"/>
      <c r="AB66" s="2858"/>
      <c r="AC66" s="2858"/>
      <c r="AD66" s="2858"/>
      <c r="AE66" s="2858"/>
    </row>
    <row r="67" spans="1:31" s="113" customFormat="1" ht="15.75" thickBot="1">
      <c r="A67" s="472" t="s">
        <v>2346</v>
      </c>
      <c r="B67" s="473"/>
      <c r="C67" s="474"/>
      <c r="D67" s="475"/>
      <c r="E67" s="475"/>
      <c r="F67" s="475"/>
      <c r="G67" s="475"/>
      <c r="H67" s="475"/>
      <c r="I67" s="475"/>
      <c r="J67" s="475"/>
      <c r="K67" s="475"/>
      <c r="L67" s="475"/>
      <c r="M67" s="476"/>
      <c r="N67" s="476"/>
      <c r="O67" s="477"/>
      <c r="P67" s="2938"/>
      <c r="Q67" s="2938"/>
      <c r="R67" s="2858"/>
      <c r="S67" s="2858"/>
      <c r="T67" s="2858"/>
      <c r="U67" s="2858"/>
      <c r="V67" s="2858"/>
      <c r="W67" s="2858"/>
      <c r="X67" s="2858"/>
      <c r="Y67" s="2858"/>
      <c r="Z67" s="2858"/>
      <c r="AA67" s="2858"/>
      <c r="AB67" s="2858"/>
      <c r="AC67" s="2858"/>
      <c r="AD67" s="2858"/>
      <c r="AE67" s="2858"/>
    </row>
    <row r="68" spans="1:31" s="113" customFormat="1" ht="15">
      <c r="A68" s="478" t="s">
        <v>2311</v>
      </c>
      <c r="B68" s="467"/>
      <c r="C68" s="479" t="s">
        <v>2413</v>
      </c>
      <c r="D68" s="480"/>
      <c r="E68" s="480"/>
      <c r="F68" s="480"/>
      <c r="G68" s="480"/>
      <c r="H68" s="480"/>
      <c r="I68" s="480"/>
      <c r="J68" s="480"/>
      <c r="K68" s="480"/>
      <c r="L68" s="481"/>
      <c r="M68" s="482"/>
      <c r="N68" s="2951"/>
      <c r="O68" s="2951"/>
      <c r="P68" s="2976"/>
      <c r="Q68" s="2938"/>
      <c r="R68" s="2858"/>
      <c r="S68" s="2858"/>
      <c r="T68" s="2858"/>
      <c r="U68" s="2858"/>
      <c r="V68" s="2858"/>
      <c r="W68" s="2858"/>
      <c r="X68" s="2858"/>
      <c r="Y68" s="2858"/>
      <c r="Z68" s="2858"/>
      <c r="AA68" s="2858"/>
      <c r="AB68" s="2858"/>
      <c r="AC68" s="2858"/>
      <c r="AD68" s="2858"/>
      <c r="AE68" s="2858"/>
    </row>
    <row r="69" spans="1:31" s="113" customFormat="1" ht="15.75" thickBot="1">
      <c r="A69" s="478"/>
      <c r="B69" s="467"/>
      <c r="C69" s="595">
        <v>100</v>
      </c>
      <c r="D69" s="469"/>
      <c r="E69" s="469"/>
      <c r="F69" s="469"/>
      <c r="G69" s="469"/>
      <c r="H69" s="469"/>
      <c r="I69" s="469"/>
      <c r="J69" s="469"/>
      <c r="K69" s="469"/>
      <c r="L69" s="469"/>
      <c r="M69" s="471"/>
      <c r="N69" s="2951"/>
      <c r="O69" s="2951"/>
      <c r="P69" s="2938"/>
      <c r="Q69" s="2938"/>
      <c r="R69" s="2858"/>
      <c r="S69" s="2858"/>
      <c r="T69" s="2858"/>
      <c r="U69" s="2858"/>
      <c r="V69" s="2858"/>
      <c r="W69" s="2858"/>
      <c r="X69" s="2858"/>
      <c r="Y69" s="2858"/>
      <c r="Z69" s="2858"/>
      <c r="AA69" s="2858"/>
      <c r="AB69" s="2858"/>
      <c r="AC69" s="2858"/>
      <c r="AD69" s="2858"/>
      <c r="AE69" s="2858"/>
    </row>
    <row r="70" spans="1:31">
      <c r="A70" s="484" t="s">
        <v>2349</v>
      </c>
      <c r="B70" s="485" t="s">
        <v>2315</v>
      </c>
      <c r="C70" s="487"/>
      <c r="D70" s="487"/>
      <c r="E70" s="487"/>
      <c r="F70" s="487"/>
      <c r="G70" s="487"/>
      <c r="H70" s="487"/>
      <c r="I70" s="487"/>
      <c r="J70" s="487"/>
      <c r="K70" s="488"/>
      <c r="L70" s="489"/>
      <c r="M70" s="490"/>
      <c r="N70" s="2952"/>
      <c r="O70" s="2952"/>
      <c r="P70" s="2977"/>
      <c r="Q70" s="2938"/>
      <c r="R70" s="2924"/>
      <c r="S70" s="2924"/>
      <c r="T70" s="2924"/>
      <c r="U70" s="2924"/>
      <c r="V70" s="2924"/>
      <c r="W70" s="2924"/>
      <c r="X70" s="2924"/>
      <c r="Y70" s="2924"/>
      <c r="Z70" s="2924"/>
      <c r="AA70" s="2924"/>
      <c r="AB70" s="2924"/>
      <c r="AC70" s="2924"/>
      <c r="AD70" s="2924"/>
      <c r="AE70" s="2924"/>
    </row>
    <row r="71" spans="1:31" ht="15.75" thickBot="1">
      <c r="A71" s="491"/>
      <c r="B71" s="492"/>
      <c r="C71" s="493"/>
      <c r="D71" s="493"/>
      <c r="E71" s="493"/>
      <c r="F71" s="493"/>
      <c r="G71" s="493"/>
      <c r="H71" s="493"/>
      <c r="I71" s="493"/>
      <c r="J71" s="493"/>
      <c r="K71" s="493"/>
      <c r="L71" s="493"/>
      <c r="M71" s="494"/>
      <c r="N71" s="2953"/>
      <c r="O71" s="2953"/>
      <c r="P71" s="2977"/>
      <c r="Q71" s="2938"/>
      <c r="R71" s="2924"/>
      <c r="S71" s="2924"/>
      <c r="T71" s="2924"/>
      <c r="U71" s="2924"/>
      <c r="V71" s="2924"/>
      <c r="W71" s="2924"/>
      <c r="X71" s="2924"/>
      <c r="Y71" s="2924"/>
      <c r="Z71" s="2924"/>
      <c r="AA71" s="2924"/>
      <c r="AB71" s="2924"/>
      <c r="AC71" s="2924"/>
      <c r="AD71" s="2924"/>
      <c r="AE71" s="2924"/>
    </row>
    <row r="72" spans="1:31" ht="27.75" thickTop="1">
      <c r="A72" s="491"/>
      <c r="B72" s="495" t="s">
        <v>2318</v>
      </c>
      <c r="C72" s="496"/>
      <c r="D72" s="496"/>
      <c r="E72" s="496"/>
      <c r="F72" s="496"/>
      <c r="G72" s="496"/>
      <c r="H72" s="496"/>
      <c r="I72" s="496"/>
      <c r="J72" s="496"/>
      <c r="K72" s="497"/>
      <c r="L72" s="498"/>
      <c r="M72" s="499"/>
      <c r="N72" s="2952"/>
      <c r="O72" s="2952"/>
      <c r="P72" s="2977"/>
      <c r="Q72" s="2938"/>
      <c r="R72" s="2924"/>
      <c r="S72" s="2924"/>
      <c r="T72" s="2924"/>
      <c r="U72" s="2924"/>
      <c r="V72" s="2924"/>
      <c r="W72" s="2924"/>
      <c r="X72" s="2924"/>
      <c r="Y72" s="2924"/>
      <c r="Z72" s="2924"/>
      <c r="AA72" s="2924"/>
      <c r="AB72" s="2924"/>
      <c r="AC72" s="2924"/>
      <c r="AD72" s="2924"/>
      <c r="AE72" s="2924"/>
    </row>
    <row r="73" spans="1:31" ht="15.75" thickBot="1">
      <c r="A73" s="491"/>
      <c r="B73" s="500"/>
      <c r="C73" s="501"/>
      <c r="D73" s="501"/>
      <c r="E73" s="501"/>
      <c r="F73" s="501"/>
      <c r="G73" s="501"/>
      <c r="H73" s="501"/>
      <c r="I73" s="501"/>
      <c r="J73" s="501"/>
      <c r="K73" s="501"/>
      <c r="L73" s="501"/>
      <c r="M73" s="502"/>
      <c r="N73" s="2953"/>
      <c r="O73" s="2953"/>
      <c r="P73" s="2977"/>
      <c r="Q73" s="2938"/>
      <c r="R73" s="2924"/>
      <c r="S73" s="2924"/>
      <c r="T73" s="2924"/>
      <c r="U73" s="2924"/>
      <c r="V73" s="2924"/>
      <c r="W73" s="2924"/>
      <c r="X73" s="2924"/>
      <c r="Y73" s="2924"/>
      <c r="Z73" s="2924"/>
      <c r="AA73" s="2924"/>
      <c r="AB73" s="2924"/>
      <c r="AC73" s="2924"/>
      <c r="AD73" s="2924"/>
      <c r="AE73" s="2924"/>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3"/>
      <c r="O74" s="2953"/>
      <c r="P74" s="2977"/>
      <c r="Q74" s="2938"/>
      <c r="R74" s="2924"/>
      <c r="S74" s="2924"/>
      <c r="T74" s="2924"/>
      <c r="U74" s="2924"/>
      <c r="V74" s="2924"/>
      <c r="W74" s="2924"/>
      <c r="X74" s="2924"/>
      <c r="Y74" s="2924"/>
      <c r="Z74" s="2924"/>
      <c r="AA74" s="2924"/>
      <c r="AB74" s="2924"/>
      <c r="AC74" s="2924"/>
      <c r="AD74" s="2924"/>
      <c r="AE74" s="2924"/>
    </row>
    <row r="75" spans="1:31" ht="15">
      <c r="A75" s="491"/>
      <c r="B75" s="505"/>
      <c r="C75" s="506"/>
      <c r="D75" s="506"/>
      <c r="E75" s="506"/>
      <c r="F75" s="506"/>
      <c r="G75" s="506"/>
      <c r="H75" s="506"/>
      <c r="I75" s="506"/>
      <c r="J75" s="506"/>
      <c r="K75" s="507"/>
      <c r="L75" s="508"/>
      <c r="M75" s="509"/>
      <c r="N75" s="2952"/>
      <c r="O75" s="2952"/>
      <c r="P75" s="2977"/>
      <c r="Q75" s="2938"/>
      <c r="R75" s="2924"/>
      <c r="S75" s="2924"/>
      <c r="T75" s="2924"/>
      <c r="U75" s="2924"/>
      <c r="V75" s="2924"/>
      <c r="W75" s="2924"/>
      <c r="X75" s="2924"/>
      <c r="Y75" s="2924"/>
      <c r="Z75" s="2924"/>
      <c r="AA75" s="2924"/>
      <c r="AB75" s="2924"/>
      <c r="AC75" s="2924"/>
      <c r="AD75" s="2924"/>
      <c r="AE75" s="292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3"/>
      <c r="O76" s="2953"/>
      <c r="P76" s="2977"/>
      <c r="Q76" s="2938"/>
      <c r="R76" s="2924"/>
      <c r="S76" s="2924"/>
      <c r="T76" s="2924"/>
      <c r="U76" s="2924"/>
      <c r="V76" s="2924"/>
      <c r="W76" s="2924"/>
      <c r="X76" s="2924"/>
      <c r="Y76" s="2924"/>
      <c r="Z76" s="2924"/>
      <c r="AA76" s="2924"/>
      <c r="AB76" s="2924"/>
      <c r="AC76" s="2924"/>
      <c r="AD76" s="2924"/>
      <c r="AE76" s="2924"/>
    </row>
    <row r="77" spans="1:31" s="430" customFormat="1" ht="15.75" thickTop="1">
      <c r="A77" s="510"/>
      <c r="B77" s="495">
        <f>B12</f>
        <v>111</v>
      </c>
      <c r="C77" s="511"/>
      <c r="D77" s="511"/>
      <c r="E77" s="511"/>
      <c r="F77" s="511"/>
      <c r="G77" s="511"/>
      <c r="H77" s="512"/>
      <c r="I77" s="512"/>
      <c r="J77" s="512"/>
      <c r="K77" s="512"/>
      <c r="L77" s="513"/>
      <c r="M77" s="514"/>
      <c r="N77" s="2954"/>
      <c r="O77" s="2954"/>
      <c r="P77" s="2978"/>
      <c r="Q77" s="2945"/>
      <c r="R77" s="2946"/>
      <c r="S77" s="2946"/>
      <c r="T77" s="2946"/>
      <c r="U77" s="2946"/>
      <c r="V77" s="2946"/>
      <c r="W77" s="2946"/>
      <c r="X77" s="2946"/>
      <c r="Y77" s="2946"/>
      <c r="Z77" s="2946"/>
      <c r="AA77" s="2946"/>
      <c r="AB77" s="2946"/>
      <c r="AC77" s="2946"/>
      <c r="AD77" s="2946"/>
      <c r="AE77" s="2946"/>
    </row>
    <row r="78" spans="1:31" s="430" customFormat="1" ht="15.75" thickBot="1">
      <c r="A78" s="510"/>
      <c r="B78" s="500"/>
      <c r="C78" s="517"/>
      <c r="D78" s="493"/>
      <c r="E78" s="493"/>
      <c r="F78" s="493"/>
      <c r="G78" s="493"/>
      <c r="H78" s="493"/>
      <c r="I78" s="493"/>
      <c r="J78" s="493"/>
      <c r="K78" s="493"/>
      <c r="L78" s="493"/>
      <c r="M78" s="494"/>
      <c r="N78" s="2953"/>
      <c r="O78" s="2953"/>
      <c r="P78" s="2978"/>
      <c r="Q78" s="2945"/>
      <c r="R78" s="2946"/>
      <c r="S78" s="2946"/>
      <c r="T78" s="2946"/>
      <c r="U78" s="2946"/>
      <c r="V78" s="2946"/>
      <c r="W78" s="2946"/>
      <c r="X78" s="2946"/>
      <c r="Y78" s="2946"/>
      <c r="Z78" s="2946"/>
      <c r="AA78" s="2946"/>
      <c r="AB78" s="2946"/>
      <c r="AC78" s="2946"/>
      <c r="AD78" s="2946"/>
      <c r="AE78" s="2946"/>
    </row>
    <row r="79" spans="1:31" s="430" customFormat="1" ht="15.75" thickTop="1">
      <c r="A79" s="510"/>
      <c r="B79" s="495">
        <f>B13</f>
        <v>111</v>
      </c>
      <c r="C79" s="511"/>
      <c r="D79" s="511"/>
      <c r="E79" s="511"/>
      <c r="F79" s="511"/>
      <c r="G79" s="511"/>
      <c r="H79" s="512"/>
      <c r="I79" s="512"/>
      <c r="J79" s="512"/>
      <c r="K79" s="512"/>
      <c r="L79" s="513"/>
      <c r="M79" s="514"/>
      <c r="N79" s="2954"/>
      <c r="O79" s="2954"/>
      <c r="P79" s="2922"/>
      <c r="Q79" s="2948"/>
      <c r="R79" s="2946"/>
      <c r="S79" s="2946"/>
      <c r="T79" s="2946"/>
      <c r="U79" s="2946"/>
      <c r="V79" s="2946"/>
      <c r="W79" s="2946"/>
      <c r="X79" s="2946"/>
      <c r="Y79" s="2946"/>
      <c r="Z79" s="2946"/>
      <c r="AA79" s="2946"/>
      <c r="AB79" s="2946"/>
      <c r="AC79" s="2946"/>
      <c r="AD79" s="2946"/>
      <c r="AE79" s="2946"/>
    </row>
    <row r="80" spans="1:31" s="430" customFormat="1" ht="15.75" thickBot="1">
      <c r="A80" s="510"/>
      <c r="B80" s="500"/>
      <c r="C80" s="517"/>
      <c r="D80" s="517"/>
      <c r="E80" s="517"/>
      <c r="F80" s="517"/>
      <c r="G80" s="517"/>
      <c r="H80" s="519"/>
      <c r="I80" s="519"/>
      <c r="J80" s="519"/>
      <c r="K80" s="519"/>
      <c r="L80" s="519"/>
      <c r="M80" s="520"/>
      <c r="N80" s="2954"/>
      <c r="O80" s="2954"/>
      <c r="P80" s="2978"/>
      <c r="Q80" s="2945"/>
      <c r="R80" s="2946"/>
      <c r="S80" s="2946"/>
      <c r="T80" s="2946"/>
      <c r="U80" s="2946"/>
      <c r="V80" s="2946"/>
      <c r="W80" s="2946"/>
      <c r="X80" s="2946"/>
      <c r="Y80" s="2946"/>
      <c r="Z80" s="2946"/>
      <c r="AA80" s="2946"/>
      <c r="AB80" s="2946"/>
      <c r="AC80" s="2946"/>
      <c r="AD80" s="2946"/>
      <c r="AE80" s="2946"/>
    </row>
    <row r="81" spans="1:31" s="430" customFormat="1" ht="15.75" thickTop="1">
      <c r="A81" s="510"/>
      <c r="B81" s="503">
        <f>B14</f>
        <v>111</v>
      </c>
      <c r="C81" s="480"/>
      <c r="D81" s="480"/>
      <c r="E81" s="480"/>
      <c r="F81" s="480"/>
      <c r="G81" s="480"/>
      <c r="H81" s="521"/>
      <c r="I81" s="521"/>
      <c r="J81" s="521"/>
      <c r="K81" s="521"/>
      <c r="L81" s="522"/>
      <c r="M81" s="523"/>
      <c r="N81" s="2954"/>
      <c r="O81" s="2954"/>
      <c r="P81" s="2983"/>
      <c r="Q81" s="2945"/>
      <c r="R81" s="2946"/>
      <c r="S81" s="2946"/>
      <c r="T81" s="2946"/>
      <c r="U81" s="2946"/>
      <c r="V81" s="2946"/>
      <c r="W81" s="2946"/>
      <c r="X81" s="2946"/>
      <c r="Y81" s="2946"/>
      <c r="Z81" s="2946"/>
      <c r="AA81" s="2946"/>
      <c r="AB81" s="2946"/>
      <c r="AC81" s="2946"/>
      <c r="AD81" s="2946"/>
      <c r="AE81" s="2946"/>
    </row>
    <row r="82" spans="1:31" s="430" customFormat="1" ht="15.75" thickBot="1">
      <c r="A82" s="525"/>
      <c r="B82" s="526"/>
      <c r="C82" s="527"/>
      <c r="D82" s="527"/>
      <c r="E82" s="527"/>
      <c r="F82" s="527"/>
      <c r="G82" s="527"/>
      <c r="H82" s="528"/>
      <c r="I82" s="528"/>
      <c r="J82" s="528"/>
      <c r="K82" s="528"/>
      <c r="L82" s="528"/>
      <c r="M82" s="529"/>
      <c r="N82" s="2954"/>
      <c r="O82" s="2954"/>
      <c r="P82" s="2978"/>
      <c r="Q82" s="2945"/>
      <c r="R82" s="2946"/>
      <c r="S82" s="2946"/>
      <c r="T82" s="2946"/>
      <c r="U82" s="2946"/>
      <c r="V82" s="2946"/>
      <c r="W82" s="2946"/>
      <c r="X82" s="2946"/>
      <c r="Y82" s="2946"/>
      <c r="Z82" s="2946"/>
      <c r="AA82" s="2946"/>
      <c r="AB82" s="2946"/>
      <c r="AC82" s="2946"/>
      <c r="AD82" s="2946"/>
      <c r="AE82" s="2946"/>
    </row>
    <row r="83" spans="1:31">
      <c r="A83" s="484" t="s">
        <v>2320</v>
      </c>
      <c r="B83" s="485" t="s">
        <v>2466</v>
      </c>
      <c r="C83" s="530" t="s">
        <v>2358</v>
      </c>
      <c r="D83" s="530" t="s">
        <v>2359</v>
      </c>
      <c r="E83" s="530" t="s">
        <v>2360</v>
      </c>
      <c r="F83" s="530" t="s">
        <v>2361</v>
      </c>
      <c r="G83" s="530" t="s">
        <v>2362</v>
      </c>
      <c r="H83" s="486"/>
      <c r="I83" s="486"/>
      <c r="J83" s="486"/>
      <c r="K83" s="531"/>
      <c r="L83" s="532"/>
      <c r="M83" s="533"/>
      <c r="N83" s="2952"/>
      <c r="O83" s="2952"/>
      <c r="P83" s="2979"/>
      <c r="Q83" s="2938"/>
      <c r="R83" s="2924"/>
      <c r="S83" s="2924"/>
      <c r="T83" s="2924"/>
      <c r="U83" s="2924"/>
      <c r="V83" s="2924"/>
      <c r="W83" s="2924"/>
      <c r="X83" s="2924"/>
      <c r="Y83" s="2924"/>
      <c r="Z83" s="2924"/>
      <c r="AA83" s="2924"/>
      <c r="AB83" s="2924"/>
      <c r="AC83" s="2924"/>
      <c r="AD83" s="2924"/>
      <c r="AE83" s="292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3"/>
      <c r="O84" s="2953"/>
      <c r="P84" s="2977"/>
      <c r="Q84" s="2938"/>
      <c r="R84" s="2924"/>
      <c r="S84" s="2924"/>
      <c r="T84" s="2924"/>
      <c r="U84" s="2924"/>
      <c r="V84" s="2924"/>
      <c r="W84" s="2924"/>
      <c r="X84" s="2924"/>
      <c r="Y84" s="2924"/>
      <c r="Z84" s="2924"/>
      <c r="AA84" s="2924"/>
      <c r="AB84" s="2924"/>
      <c r="AC84" s="2924"/>
      <c r="AD84" s="2924"/>
      <c r="AE84" s="2924"/>
    </row>
    <row r="85" spans="1:31" ht="15.75" thickTop="1">
      <c r="A85" s="491"/>
      <c r="B85" s="495" t="s">
        <v>2363</v>
      </c>
      <c r="C85" s="535" t="s">
        <v>2358</v>
      </c>
      <c r="D85" s="535" t="s">
        <v>2359</v>
      </c>
      <c r="E85" s="535" t="s">
        <v>2360</v>
      </c>
      <c r="F85" s="535" t="s">
        <v>2361</v>
      </c>
      <c r="G85" s="535" t="s">
        <v>2362</v>
      </c>
      <c r="H85" s="496"/>
      <c r="I85" s="496"/>
      <c r="J85" s="496"/>
      <c r="K85" s="497"/>
      <c r="L85" s="498"/>
      <c r="M85" s="499"/>
      <c r="N85" s="2952"/>
      <c r="O85" s="2952"/>
      <c r="P85" s="2977"/>
      <c r="Q85" s="2938"/>
      <c r="R85" s="2924"/>
      <c r="S85" s="2924"/>
      <c r="T85" s="2924"/>
      <c r="U85" s="2924"/>
      <c r="V85" s="2924"/>
      <c r="W85" s="2924"/>
      <c r="X85" s="2924"/>
      <c r="Y85" s="2924"/>
      <c r="Z85" s="2924"/>
      <c r="AA85" s="2924"/>
      <c r="AB85" s="2924"/>
      <c r="AC85" s="2924"/>
      <c r="AD85" s="2924"/>
      <c r="AE85" s="292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3"/>
      <c r="O86" s="2953"/>
      <c r="P86" s="2977"/>
      <c r="Q86" s="2938"/>
      <c r="R86" s="2924"/>
      <c r="S86" s="2924"/>
      <c r="T86" s="2924"/>
      <c r="U86" s="2924"/>
      <c r="V86" s="2924"/>
      <c r="W86" s="2924"/>
      <c r="X86" s="2924"/>
      <c r="Y86" s="2924"/>
      <c r="Z86" s="2924"/>
      <c r="AA86" s="2924"/>
      <c r="AB86" s="2924"/>
      <c r="AC86" s="2924"/>
      <c r="AD86" s="2924"/>
      <c r="AE86" s="2924"/>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51"/>
      <c r="O87" s="2951"/>
      <c r="P87" s="2977"/>
      <c r="Q87" s="2938"/>
      <c r="R87" s="2858"/>
      <c r="S87" s="2858"/>
      <c r="T87" s="2858"/>
      <c r="U87" s="2858"/>
      <c r="V87" s="2858"/>
      <c r="W87" s="2858"/>
      <c r="X87" s="2858"/>
      <c r="Y87" s="2858"/>
      <c r="Z87" s="2858"/>
      <c r="AA87" s="2858"/>
      <c r="AB87" s="2858"/>
      <c r="AC87" s="2858"/>
      <c r="AD87" s="2858"/>
      <c r="AE87" s="285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3"/>
      <c r="O88" s="2953"/>
      <c r="P88" s="2977"/>
      <c r="Q88" s="2938"/>
      <c r="R88" s="2858"/>
      <c r="S88" s="2858"/>
      <c r="T88" s="2858"/>
      <c r="U88" s="2858"/>
      <c r="V88" s="2858"/>
      <c r="W88" s="2858"/>
      <c r="X88" s="2858"/>
      <c r="Y88" s="2858"/>
      <c r="Z88" s="2858"/>
      <c r="AA88" s="2858"/>
      <c r="AB88" s="2858"/>
      <c r="AC88" s="2858"/>
      <c r="AD88" s="2858"/>
      <c r="AE88" s="2858"/>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51"/>
      <c r="O89" s="2951"/>
      <c r="P89" s="2977"/>
      <c r="Q89" s="2938"/>
      <c r="R89" s="2858"/>
      <c r="S89" s="2858"/>
      <c r="T89" s="2858"/>
      <c r="U89" s="2858"/>
      <c r="V89" s="2858"/>
      <c r="W89" s="2858"/>
      <c r="X89" s="2858"/>
      <c r="Y89" s="2858"/>
      <c r="Z89" s="2858"/>
      <c r="AA89" s="2858"/>
      <c r="AB89" s="2858"/>
      <c r="AC89" s="2858"/>
      <c r="AD89" s="2858"/>
      <c r="AE89" s="285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3"/>
      <c r="O90" s="2953"/>
      <c r="P90" s="2977"/>
      <c r="Q90" s="2938"/>
      <c r="R90" s="2858"/>
      <c r="S90" s="2858"/>
      <c r="T90" s="2858"/>
      <c r="U90" s="2858"/>
      <c r="V90" s="2858"/>
      <c r="W90" s="2858"/>
      <c r="X90" s="2858"/>
      <c r="Y90" s="2858"/>
      <c r="Z90" s="2858"/>
      <c r="AA90" s="2858"/>
      <c r="AB90" s="2858"/>
      <c r="AC90" s="2858"/>
      <c r="AD90" s="2858"/>
      <c r="AE90" s="2858"/>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4"/>
      <c r="O91" s="2954"/>
      <c r="P91" s="2978"/>
      <c r="Q91" s="2945"/>
      <c r="R91" s="2946"/>
      <c r="S91" s="2946"/>
      <c r="T91" s="2946"/>
      <c r="U91" s="2946"/>
      <c r="V91" s="2946"/>
      <c r="W91" s="2946"/>
      <c r="X91" s="2946"/>
      <c r="Y91" s="2946"/>
      <c r="Z91" s="2946"/>
      <c r="AA91" s="2946"/>
      <c r="AB91" s="2946"/>
      <c r="AC91" s="2946"/>
      <c r="AD91" s="2946"/>
      <c r="AE91" s="294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4"/>
      <c r="O92" s="2954"/>
      <c r="P92" s="2978"/>
      <c r="Q92" s="2945"/>
      <c r="R92" s="2946"/>
      <c r="S92" s="2946"/>
      <c r="T92" s="2946"/>
      <c r="U92" s="2946"/>
      <c r="V92" s="2946"/>
      <c r="W92" s="2946"/>
      <c r="X92" s="2946"/>
      <c r="Y92" s="2946"/>
      <c r="Z92" s="2946"/>
      <c r="AA92" s="2946"/>
      <c r="AB92" s="2946"/>
      <c r="AC92" s="2946"/>
      <c r="AD92" s="2946"/>
      <c r="AE92" s="2946"/>
    </row>
    <row r="93" spans="1:31" s="430" customFormat="1" ht="15.75" thickTop="1">
      <c r="A93" s="510"/>
      <c r="B93" s="503" t="s">
        <v>2564</v>
      </c>
      <c r="C93" s="616" t="s">
        <v>2436</v>
      </c>
      <c r="D93" s="616" t="s">
        <v>2437</v>
      </c>
      <c r="E93" s="616" t="s">
        <v>2438</v>
      </c>
      <c r="F93" s="616" t="s">
        <v>2439</v>
      </c>
      <c r="G93" s="616" t="s">
        <v>2440</v>
      </c>
      <c r="H93" s="557"/>
      <c r="I93" s="557"/>
      <c r="J93" s="557"/>
      <c r="K93" s="557"/>
      <c r="L93" s="557"/>
      <c r="M93" s="559"/>
      <c r="N93" s="2954"/>
      <c r="O93" s="2954"/>
      <c r="P93" s="2978"/>
      <c r="Q93" s="2945"/>
      <c r="R93" s="2946"/>
      <c r="S93" s="2946"/>
      <c r="T93" s="2946"/>
      <c r="U93" s="2946"/>
      <c r="V93" s="2946"/>
      <c r="W93" s="2946"/>
      <c r="X93" s="2946"/>
      <c r="Y93" s="2946"/>
      <c r="Z93" s="2946"/>
      <c r="AA93" s="2946"/>
      <c r="AB93" s="2946"/>
      <c r="AC93" s="2946"/>
      <c r="AD93" s="2946"/>
      <c r="AE93" s="294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4"/>
      <c r="O94" s="2954"/>
      <c r="P94" s="2978"/>
      <c r="Q94" s="2945"/>
      <c r="R94" s="2946"/>
      <c r="S94" s="2946"/>
      <c r="T94" s="2946"/>
      <c r="U94" s="2946"/>
      <c r="V94" s="2946"/>
      <c r="W94" s="2946"/>
      <c r="X94" s="2946"/>
      <c r="Y94" s="2946"/>
      <c r="Z94" s="2946"/>
      <c r="AA94" s="2946"/>
      <c r="AB94" s="2946"/>
      <c r="AC94" s="2946"/>
      <c r="AD94" s="2946"/>
      <c r="AE94" s="2946"/>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2"/>
      <c r="O95" s="2952"/>
      <c r="P95" s="2977"/>
      <c r="Q95" s="2938"/>
      <c r="R95" s="2924"/>
      <c r="S95" s="2924"/>
      <c r="T95" s="2924"/>
      <c r="U95" s="2924"/>
      <c r="V95" s="2924"/>
      <c r="W95" s="2924"/>
      <c r="X95" s="2924"/>
      <c r="Y95" s="2924"/>
      <c r="Z95" s="2924"/>
      <c r="AA95" s="2924"/>
      <c r="AB95" s="2924"/>
      <c r="AC95" s="2924"/>
      <c r="AD95" s="2924"/>
      <c r="AE95" s="292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3"/>
      <c r="O96" s="2953"/>
      <c r="P96" s="2977"/>
      <c r="Q96" s="2938"/>
      <c r="R96" s="2924"/>
      <c r="S96" s="2924"/>
      <c r="T96" s="2924"/>
      <c r="U96" s="2924"/>
      <c r="V96" s="2924"/>
      <c r="W96" s="2924"/>
      <c r="X96" s="2924"/>
      <c r="Y96" s="2924"/>
      <c r="Z96" s="2924"/>
      <c r="AA96" s="2924"/>
      <c r="AB96" s="2924"/>
      <c r="AC96" s="2924"/>
      <c r="AD96" s="2924"/>
      <c r="AE96" s="2924"/>
    </row>
    <row r="97" spans="1:31" ht="27.75" thickTop="1">
      <c r="A97" s="491"/>
      <c r="B97" s="495" t="s">
        <v>2452</v>
      </c>
      <c r="C97" s="511"/>
      <c r="D97" s="511"/>
      <c r="E97" s="511"/>
      <c r="F97" s="511"/>
      <c r="G97" s="511"/>
      <c r="H97" s="540"/>
      <c r="I97" s="540"/>
      <c r="J97" s="540"/>
      <c r="K97" s="541"/>
      <c r="L97" s="542"/>
      <c r="M97" s="543"/>
      <c r="N97" s="2952"/>
      <c r="O97" s="2952"/>
      <c r="P97" s="2977"/>
      <c r="Q97" s="2938"/>
      <c r="R97" s="2924"/>
      <c r="S97" s="2924"/>
      <c r="T97" s="2924"/>
      <c r="U97" s="2924"/>
      <c r="V97" s="2924"/>
      <c r="W97" s="2924"/>
      <c r="X97" s="2924"/>
      <c r="Y97" s="2924"/>
      <c r="Z97" s="2924"/>
      <c r="AA97" s="2924"/>
      <c r="AB97" s="2924"/>
      <c r="AC97" s="2924"/>
      <c r="AD97" s="2924"/>
      <c r="AE97" s="292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3"/>
      <c r="O98" s="2953"/>
      <c r="P98" s="2977"/>
      <c r="Q98" s="2938"/>
      <c r="R98" s="2924"/>
      <c r="S98" s="2924"/>
      <c r="T98" s="2924"/>
      <c r="U98" s="2924"/>
      <c r="V98" s="2924"/>
      <c r="W98" s="2924"/>
      <c r="X98" s="2924"/>
      <c r="Y98" s="2924"/>
      <c r="Z98" s="2924"/>
      <c r="AA98" s="2924"/>
      <c r="AB98" s="2924"/>
      <c r="AC98" s="2924"/>
      <c r="AD98" s="2924"/>
      <c r="AE98" s="2924"/>
    </row>
    <row r="99" spans="1:31" ht="15.75" thickTop="1">
      <c r="A99" s="491"/>
      <c r="B99" s="495" t="s">
        <v>2511</v>
      </c>
      <c r="C99" s="540"/>
      <c r="D99" s="540"/>
      <c r="E99" s="540"/>
      <c r="F99" s="540"/>
      <c r="G99" s="540"/>
      <c r="H99" s="540"/>
      <c r="I99" s="540"/>
      <c r="J99" s="540"/>
      <c r="K99" s="541"/>
      <c r="L99" s="542"/>
      <c r="M99" s="543"/>
      <c r="N99" s="2952"/>
      <c r="O99" s="2952"/>
      <c r="P99" s="2977"/>
      <c r="Q99" s="2938"/>
      <c r="R99" s="2924"/>
      <c r="S99" s="2924"/>
      <c r="T99" s="2924"/>
      <c r="U99" s="2924"/>
      <c r="V99" s="2924"/>
      <c r="W99" s="2924"/>
      <c r="X99" s="2924"/>
      <c r="Y99" s="2924"/>
      <c r="Z99" s="2924"/>
      <c r="AA99" s="2924"/>
      <c r="AB99" s="2924"/>
      <c r="AC99" s="2924"/>
      <c r="AD99" s="2924"/>
      <c r="AE99" s="292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3"/>
      <c r="O100" s="2953"/>
      <c r="P100" s="2977"/>
      <c r="Q100" s="2938"/>
      <c r="R100" s="2924"/>
      <c r="S100" s="2924"/>
      <c r="T100" s="2924"/>
      <c r="U100" s="2924"/>
      <c r="V100" s="2924"/>
      <c r="W100" s="2924"/>
      <c r="X100" s="2924"/>
      <c r="Y100" s="2924"/>
      <c r="Z100" s="2924"/>
      <c r="AA100" s="2924"/>
      <c r="AB100" s="2924"/>
      <c r="AC100" s="2924"/>
      <c r="AD100" s="2924"/>
      <c r="AE100" s="2924"/>
    </row>
    <row r="101" spans="1:31" ht="15.75" thickTop="1">
      <c r="A101" s="491"/>
      <c r="B101" s="503">
        <f>B31</f>
        <v>111</v>
      </c>
      <c r="C101" s="511"/>
      <c r="D101" s="511"/>
      <c r="E101" s="511"/>
      <c r="F101" s="511"/>
      <c r="G101" s="544"/>
      <c r="H101" s="544"/>
      <c r="I101" s="544"/>
      <c r="J101" s="544"/>
      <c r="K101" s="545"/>
      <c r="L101" s="546"/>
      <c r="M101" s="547"/>
      <c r="N101" s="2952"/>
      <c r="O101" s="2952"/>
      <c r="P101" s="2977"/>
      <c r="Q101" s="2938"/>
      <c r="R101" s="2924"/>
      <c r="S101" s="2924"/>
      <c r="T101" s="2924"/>
      <c r="U101" s="2924"/>
      <c r="V101" s="2924"/>
      <c r="W101" s="2924"/>
      <c r="X101" s="2924"/>
      <c r="Y101" s="2924"/>
      <c r="Z101" s="2924"/>
      <c r="AA101" s="2924"/>
      <c r="AB101" s="2924"/>
      <c r="AC101" s="2924"/>
      <c r="AD101" s="2924"/>
      <c r="AE101" s="2924"/>
    </row>
    <row r="102" spans="1:31" ht="15.75" thickBot="1">
      <c r="A102" s="491"/>
      <c r="B102" s="526"/>
      <c r="C102" s="517"/>
      <c r="D102" s="493"/>
      <c r="E102" s="493"/>
      <c r="F102" s="493"/>
      <c r="G102" s="548"/>
      <c r="H102" s="548"/>
      <c r="I102" s="548"/>
      <c r="J102" s="548"/>
      <c r="K102" s="548"/>
      <c r="L102" s="548"/>
      <c r="M102" s="549"/>
      <c r="N102" s="2953"/>
      <c r="O102" s="2953"/>
      <c r="P102" s="2977"/>
      <c r="Q102" s="2938"/>
      <c r="R102" s="2924"/>
      <c r="S102" s="2924"/>
      <c r="T102" s="2924"/>
      <c r="U102" s="2924"/>
      <c r="V102" s="2924"/>
      <c r="W102" s="2924"/>
      <c r="X102" s="2924"/>
      <c r="Y102" s="2924"/>
      <c r="Z102" s="2924"/>
      <c r="AA102" s="2924"/>
      <c r="AB102" s="2924"/>
      <c r="AC102" s="2924"/>
      <c r="AD102" s="2924"/>
      <c r="AE102" s="2924"/>
    </row>
    <row r="103" spans="1:31" ht="15" thickTop="1">
      <c r="A103" s="631"/>
      <c r="B103" s="495">
        <f>B32</f>
        <v>111</v>
      </c>
      <c r="C103" s="511"/>
      <c r="D103" s="511"/>
      <c r="E103" s="511"/>
      <c r="F103" s="511"/>
      <c r="G103" s="540"/>
      <c r="H103" s="540"/>
      <c r="I103" s="540"/>
      <c r="J103" s="540"/>
      <c r="K103" s="541"/>
      <c r="L103" s="542"/>
      <c r="M103" s="543"/>
      <c r="N103" s="2952"/>
      <c r="O103" s="2952"/>
      <c r="P103" s="2977"/>
      <c r="Q103" s="2938"/>
      <c r="R103" s="2924"/>
      <c r="S103" s="2924"/>
      <c r="T103" s="2924"/>
      <c r="U103" s="2924"/>
      <c r="V103" s="2924"/>
      <c r="W103" s="2924"/>
      <c r="X103" s="2924"/>
      <c r="Y103" s="2924"/>
      <c r="Z103" s="2924"/>
      <c r="AA103" s="2924"/>
      <c r="AB103" s="2924"/>
      <c r="AC103" s="2924"/>
      <c r="AD103" s="2924"/>
      <c r="AE103" s="2924"/>
    </row>
    <row r="104" spans="1:31" ht="15.75" thickBot="1">
      <c r="A104" s="491"/>
      <c r="B104" s="500"/>
      <c r="C104" s="517"/>
      <c r="D104" s="517"/>
      <c r="E104" s="517"/>
      <c r="F104" s="517"/>
      <c r="G104" s="493"/>
      <c r="H104" s="493"/>
      <c r="I104" s="493"/>
      <c r="J104" s="493"/>
      <c r="K104" s="493"/>
      <c r="L104" s="493"/>
      <c r="M104" s="494"/>
      <c r="N104" s="2953"/>
      <c r="O104" s="2953"/>
      <c r="P104" s="2977"/>
      <c r="Q104" s="2938"/>
      <c r="R104" s="2924"/>
      <c r="S104" s="2924"/>
      <c r="T104" s="2924"/>
      <c r="U104" s="2924"/>
      <c r="V104" s="2924"/>
      <c r="W104" s="2924"/>
      <c r="X104" s="2924"/>
      <c r="Y104" s="2924"/>
      <c r="Z104" s="2924"/>
      <c r="AA104" s="2924"/>
      <c r="AB104" s="2924"/>
      <c r="AC104" s="2924"/>
      <c r="AD104" s="2924"/>
      <c r="AE104" s="2924"/>
    </row>
    <row r="105" spans="1:31" s="430" customFormat="1" ht="15" thickTop="1">
      <c r="A105" s="550"/>
      <c r="B105" s="551">
        <f>B33</f>
        <v>111</v>
      </c>
      <c r="C105" s="480"/>
      <c r="D105" s="480"/>
      <c r="E105" s="480"/>
      <c r="F105" s="480"/>
      <c r="G105" s="552"/>
      <c r="H105" s="552"/>
      <c r="I105" s="552"/>
      <c r="J105" s="553"/>
      <c r="K105" s="553"/>
      <c r="L105" s="554"/>
      <c r="M105" s="555"/>
      <c r="N105" s="2954"/>
      <c r="O105" s="2954"/>
      <c r="P105" s="2978"/>
      <c r="Q105" s="2945"/>
      <c r="R105" s="2946"/>
      <c r="S105" s="2946"/>
      <c r="T105" s="2946"/>
      <c r="U105" s="2946"/>
      <c r="V105" s="2946"/>
      <c r="W105" s="2946"/>
      <c r="X105" s="2946"/>
      <c r="Y105" s="2946"/>
      <c r="Z105" s="2946"/>
      <c r="AA105" s="2946"/>
      <c r="AB105" s="2946"/>
      <c r="AC105" s="2946"/>
      <c r="AD105" s="2946"/>
      <c r="AE105" s="2946"/>
    </row>
    <row r="106" spans="1:31" s="430" customFormat="1" ht="15.75" thickBot="1">
      <c r="A106" s="510"/>
      <c r="B106" s="503"/>
      <c r="C106" s="527"/>
      <c r="D106" s="527"/>
      <c r="E106" s="527"/>
      <c r="F106" s="527"/>
      <c r="G106" s="633"/>
      <c r="H106" s="633"/>
      <c r="I106" s="633"/>
      <c r="J106" s="633"/>
      <c r="K106" s="633"/>
      <c r="L106" s="633"/>
      <c r="M106" s="655"/>
      <c r="N106" s="2953"/>
      <c r="O106" s="2953"/>
      <c r="P106" s="2978"/>
      <c r="Q106" s="2945"/>
      <c r="R106" s="2946"/>
      <c r="S106" s="2946"/>
      <c r="T106" s="2946"/>
      <c r="U106" s="2946"/>
      <c r="V106" s="2946"/>
      <c r="W106" s="2946"/>
      <c r="X106" s="2946"/>
      <c r="Y106" s="2946"/>
      <c r="Z106" s="2946"/>
      <c r="AA106" s="2946"/>
      <c r="AB106" s="2946"/>
      <c r="AC106" s="2946"/>
      <c r="AD106" s="2946"/>
      <c r="AE106" s="2946"/>
    </row>
    <row r="107" spans="1:31">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2"/>
      <c r="O107" s="2952"/>
      <c r="P107" s="2977"/>
      <c r="Q107" s="2938"/>
      <c r="R107" s="2924"/>
      <c r="S107" s="2924"/>
      <c r="T107" s="2924"/>
      <c r="U107" s="2924"/>
      <c r="V107" s="2924"/>
      <c r="W107" s="2924"/>
      <c r="X107" s="2924"/>
      <c r="Y107" s="2924"/>
      <c r="Z107" s="2924"/>
      <c r="AA107" s="2924"/>
      <c r="AB107" s="2924"/>
      <c r="AC107" s="2924"/>
      <c r="AD107" s="2924"/>
      <c r="AE107" s="2924"/>
    </row>
    <row r="108" spans="1:31" ht="15">
      <c r="A108" s="491"/>
      <c r="B108" s="503"/>
      <c r="C108" s="552"/>
      <c r="D108" s="552"/>
      <c r="E108" s="552"/>
      <c r="F108" s="552"/>
      <c r="G108" s="552"/>
      <c r="H108" s="552"/>
      <c r="I108" s="552"/>
      <c r="J108" s="553"/>
      <c r="K108" s="553"/>
      <c r="L108" s="554"/>
      <c r="M108" s="555"/>
      <c r="N108" s="2952"/>
      <c r="O108" s="2952"/>
      <c r="P108" s="2977"/>
      <c r="Q108" s="2938"/>
      <c r="R108" s="2924"/>
      <c r="S108" s="2924"/>
      <c r="T108" s="2924"/>
      <c r="U108" s="2924"/>
      <c r="V108" s="2924"/>
      <c r="W108" s="2924"/>
      <c r="X108" s="2924"/>
      <c r="Y108" s="2924"/>
      <c r="Z108" s="2924"/>
      <c r="AA108" s="2924"/>
      <c r="AB108" s="2924"/>
      <c r="AC108" s="2924"/>
      <c r="AD108" s="2924"/>
      <c r="AE108" s="2924"/>
    </row>
    <row r="109" spans="1:31" ht="15.75" thickBot="1">
      <c r="A109" s="491"/>
      <c r="B109" s="500"/>
      <c r="C109" s="527"/>
      <c r="D109" s="548"/>
      <c r="E109" s="548"/>
      <c r="F109" s="548"/>
      <c r="G109" s="548"/>
      <c r="H109" s="548"/>
      <c r="I109" s="548"/>
      <c r="J109" s="548"/>
      <c r="K109" s="548"/>
      <c r="L109" s="548"/>
      <c r="M109" s="549"/>
      <c r="N109" s="2953"/>
      <c r="O109" s="2953"/>
      <c r="P109" s="2977"/>
      <c r="Q109" s="2938"/>
      <c r="R109" s="2924"/>
      <c r="S109" s="2924"/>
      <c r="T109" s="2924"/>
      <c r="U109" s="2924"/>
      <c r="V109" s="2924"/>
      <c r="W109" s="2924"/>
      <c r="X109" s="2924"/>
      <c r="Y109" s="2924"/>
      <c r="Z109" s="2924"/>
      <c r="AA109" s="2924"/>
      <c r="AB109" s="2924"/>
      <c r="AC109" s="2924"/>
      <c r="AD109" s="2924"/>
      <c r="AE109" s="2924"/>
    </row>
    <row r="110" spans="1:31" ht="15" thickTop="1">
      <c r="A110" s="556"/>
      <c r="B110" s="495" t="s">
        <v>2553</v>
      </c>
      <c r="C110" s="540"/>
      <c r="D110" s="540"/>
      <c r="E110" s="540"/>
      <c r="F110" s="540"/>
      <c r="G110" s="540"/>
      <c r="H110" s="540"/>
      <c r="I110" s="540"/>
      <c r="J110" s="540"/>
      <c r="K110" s="541"/>
      <c r="L110" s="542"/>
      <c r="M110" s="543"/>
      <c r="N110" s="2952"/>
      <c r="O110" s="2952"/>
      <c r="P110" s="2977"/>
      <c r="Q110" s="2938"/>
      <c r="R110" s="2924"/>
      <c r="S110" s="2924"/>
      <c r="T110" s="2924"/>
      <c r="U110" s="2924"/>
      <c r="V110" s="2924"/>
      <c r="W110" s="2924"/>
      <c r="X110" s="2924"/>
      <c r="Y110" s="2924"/>
      <c r="Z110" s="2924"/>
      <c r="AA110" s="2924"/>
      <c r="AB110" s="2924"/>
      <c r="AC110" s="2924"/>
      <c r="AD110" s="2924"/>
      <c r="AE110" s="292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3"/>
      <c r="O111" s="2953"/>
      <c r="P111" s="2977"/>
      <c r="Q111" s="2938"/>
      <c r="R111" s="2924"/>
      <c r="S111" s="2924"/>
      <c r="T111" s="2924"/>
      <c r="U111" s="2924"/>
      <c r="V111" s="2924"/>
      <c r="W111" s="2924"/>
      <c r="X111" s="2924"/>
      <c r="Y111" s="2924"/>
      <c r="Z111" s="2924"/>
      <c r="AA111" s="2924"/>
      <c r="AB111" s="2924"/>
      <c r="AC111" s="2924"/>
      <c r="AD111" s="2924"/>
      <c r="AE111" s="2924"/>
    </row>
    <row r="112" spans="1:31" s="430" customFormat="1" ht="15" thickTop="1">
      <c r="A112" s="550"/>
      <c r="B112" s="495" t="s">
        <v>2555</v>
      </c>
      <c r="C112" s="511"/>
      <c r="D112" s="511"/>
      <c r="E112" s="511"/>
      <c r="F112" s="511"/>
      <c r="G112" s="511"/>
      <c r="H112" s="540"/>
      <c r="I112" s="540"/>
      <c r="J112" s="540"/>
      <c r="K112" s="541"/>
      <c r="L112" s="542"/>
      <c r="M112" s="543"/>
      <c r="N112" s="2954"/>
      <c r="O112" s="2954"/>
      <c r="P112" s="2978"/>
      <c r="Q112" s="2945"/>
      <c r="R112" s="2946"/>
      <c r="S112" s="2946"/>
      <c r="T112" s="2946"/>
      <c r="U112" s="2946"/>
      <c r="V112" s="2946"/>
      <c r="W112" s="2946"/>
      <c r="X112" s="2946"/>
      <c r="Y112" s="2946"/>
      <c r="Z112" s="2946"/>
      <c r="AA112" s="2946"/>
      <c r="AB112" s="2946"/>
      <c r="AC112" s="2946"/>
      <c r="AD112" s="2946"/>
      <c r="AE112" s="294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4"/>
      <c r="O113" s="2954"/>
      <c r="P113" s="2978"/>
      <c r="Q113" s="2945"/>
      <c r="R113" s="2946"/>
      <c r="S113" s="2946"/>
      <c r="T113" s="2946"/>
      <c r="U113" s="2946"/>
      <c r="V113" s="2946"/>
      <c r="W113" s="2946"/>
      <c r="X113" s="2946"/>
      <c r="Y113" s="2946"/>
      <c r="Z113" s="2946"/>
      <c r="AA113" s="2946"/>
      <c r="AB113" s="2946"/>
      <c r="AC113" s="2946"/>
      <c r="AD113" s="2946"/>
      <c r="AE113" s="2946"/>
    </row>
    <row r="114" spans="1:31" ht="15" thickTop="1">
      <c r="A114" s="556"/>
      <c r="B114" s="495" t="s">
        <v>2556</v>
      </c>
      <c r="C114" s="511"/>
      <c r="D114" s="511"/>
      <c r="E114" s="540"/>
      <c r="F114" s="540"/>
      <c r="G114" s="540"/>
      <c r="H114" s="540"/>
      <c r="I114" s="540"/>
      <c r="J114" s="540"/>
      <c r="K114" s="541"/>
      <c r="L114" s="542"/>
      <c r="M114" s="543"/>
      <c r="N114" s="2952"/>
      <c r="O114" s="2952"/>
      <c r="P114" s="2977"/>
      <c r="Q114" s="2938"/>
      <c r="R114" s="2924"/>
      <c r="S114" s="2924"/>
      <c r="T114" s="2924"/>
      <c r="U114" s="2924"/>
      <c r="V114" s="2924"/>
      <c r="W114" s="2924"/>
      <c r="X114" s="2924"/>
      <c r="Y114" s="2924"/>
      <c r="Z114" s="2924"/>
      <c r="AA114" s="2924"/>
      <c r="AB114" s="2924"/>
      <c r="AC114" s="2924"/>
      <c r="AD114" s="2924"/>
      <c r="AE114" s="292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77"/>
      <c r="Q115" s="2938"/>
      <c r="R115" s="2924"/>
      <c r="S115" s="2924"/>
      <c r="T115" s="2924"/>
      <c r="U115" s="2924"/>
      <c r="V115" s="2924"/>
      <c r="W115" s="2924"/>
      <c r="X115" s="2924"/>
      <c r="Y115" s="2924"/>
      <c r="Z115" s="2924"/>
      <c r="AA115" s="2924"/>
      <c r="AB115" s="2924"/>
      <c r="AC115" s="2924"/>
      <c r="AD115" s="2924"/>
      <c r="AE115" s="2924"/>
    </row>
    <row r="116" spans="1:31" ht="15" thickTop="1">
      <c r="A116" s="556"/>
      <c r="B116" s="495">
        <f>B38</f>
        <v>111</v>
      </c>
      <c r="C116" s="511"/>
      <c r="D116" s="511"/>
      <c r="E116" s="511"/>
      <c r="F116" s="511"/>
      <c r="G116" s="511"/>
      <c r="H116" s="540"/>
      <c r="I116" s="540"/>
      <c r="J116" s="540"/>
      <c r="K116" s="541"/>
      <c r="L116" s="542"/>
      <c r="M116" s="543"/>
      <c r="N116" s="2952"/>
      <c r="O116" s="2952"/>
      <c r="P116" s="2977"/>
      <c r="Q116" s="2938"/>
      <c r="R116" s="2924"/>
      <c r="S116" s="2924"/>
      <c r="T116" s="2924"/>
      <c r="U116" s="2924"/>
      <c r="V116" s="2924"/>
      <c r="W116" s="2924"/>
      <c r="X116" s="2924"/>
      <c r="Y116" s="2924"/>
      <c r="Z116" s="2924"/>
      <c r="AA116" s="2924"/>
      <c r="AB116" s="2924"/>
      <c r="AC116" s="2924"/>
      <c r="AD116" s="2924"/>
      <c r="AE116" s="2924"/>
    </row>
    <row r="117" spans="1:31" ht="15.75" thickBot="1">
      <c r="A117" s="491"/>
      <c r="B117" s="500"/>
      <c r="C117" s="517"/>
      <c r="D117" s="493"/>
      <c r="E117" s="493"/>
      <c r="F117" s="493"/>
      <c r="G117" s="493"/>
      <c r="H117" s="493"/>
      <c r="I117" s="493"/>
      <c r="J117" s="493"/>
      <c r="K117" s="493"/>
      <c r="L117" s="493"/>
      <c r="M117" s="494"/>
      <c r="N117" s="2953"/>
      <c r="O117" s="2953"/>
      <c r="P117" s="2977"/>
      <c r="Q117" s="2938"/>
      <c r="R117" s="2924"/>
      <c r="S117" s="2924"/>
      <c r="T117" s="2924"/>
      <c r="U117" s="2924"/>
      <c r="V117" s="2924"/>
      <c r="W117" s="2924"/>
      <c r="X117" s="2924"/>
      <c r="Y117" s="2924"/>
      <c r="Z117" s="2924"/>
      <c r="AA117" s="2924"/>
      <c r="AB117" s="2924"/>
      <c r="AC117" s="2924"/>
      <c r="AD117" s="2924"/>
      <c r="AE117" s="2924"/>
    </row>
    <row r="118" spans="1:31" ht="15" thickTop="1">
      <c r="A118" s="556"/>
      <c r="B118" s="495">
        <f>B39</f>
        <v>111</v>
      </c>
      <c r="C118" s="511"/>
      <c r="D118" s="511"/>
      <c r="E118" s="511"/>
      <c r="F118" s="511"/>
      <c r="G118" s="540"/>
      <c r="H118" s="540"/>
      <c r="I118" s="540"/>
      <c r="J118" s="540"/>
      <c r="K118" s="541"/>
      <c r="L118" s="542"/>
      <c r="M118" s="543"/>
      <c r="N118" s="2952"/>
      <c r="O118" s="2952"/>
      <c r="P118" s="2977"/>
      <c r="Q118" s="2938"/>
      <c r="R118" s="2924"/>
      <c r="S118" s="2924"/>
      <c r="T118" s="2924"/>
      <c r="U118" s="2924"/>
      <c r="V118" s="2924"/>
      <c r="W118" s="2924"/>
      <c r="X118" s="2924"/>
      <c r="Y118" s="2924"/>
      <c r="Z118" s="2924"/>
      <c r="AA118" s="2924"/>
      <c r="AB118" s="2924"/>
      <c r="AC118" s="2924"/>
      <c r="AD118" s="2924"/>
      <c r="AE118" s="2924"/>
    </row>
    <row r="119" spans="1:31" ht="15.75" thickBot="1">
      <c r="A119" s="491"/>
      <c r="B119" s="500"/>
      <c r="C119" s="517"/>
      <c r="D119" s="517"/>
      <c r="E119" s="517"/>
      <c r="F119" s="517"/>
      <c r="G119" s="493"/>
      <c r="H119" s="493"/>
      <c r="I119" s="493"/>
      <c r="J119" s="493"/>
      <c r="K119" s="493"/>
      <c r="L119" s="493"/>
      <c r="M119" s="494"/>
      <c r="N119" s="2953"/>
      <c r="O119" s="2953"/>
      <c r="P119" s="2977"/>
      <c r="Q119" s="2938"/>
      <c r="R119" s="2924"/>
      <c r="S119" s="2924"/>
      <c r="T119" s="2924"/>
      <c r="U119" s="2924"/>
      <c r="V119" s="2924"/>
      <c r="W119" s="2924"/>
      <c r="X119" s="2924"/>
      <c r="Y119" s="2924"/>
      <c r="Z119" s="2924"/>
      <c r="AA119" s="2924"/>
      <c r="AB119" s="2924"/>
      <c r="AC119" s="2924"/>
      <c r="AD119" s="2924"/>
      <c r="AE119" s="2924"/>
    </row>
    <row r="120" spans="1:31" s="430" customFormat="1" ht="15" thickTop="1">
      <c r="A120" s="550"/>
      <c r="B120" s="495">
        <f>B40</f>
        <v>111</v>
      </c>
      <c r="C120" s="480"/>
      <c r="D120" s="480"/>
      <c r="E120" s="480"/>
      <c r="F120" s="480"/>
      <c r="G120" s="512"/>
      <c r="H120" s="512"/>
      <c r="I120" s="512"/>
      <c r="J120" s="512"/>
      <c r="K120" s="512"/>
      <c r="L120" s="513"/>
      <c r="M120" s="514"/>
      <c r="N120" s="2954"/>
      <c r="O120" s="2954"/>
      <c r="P120" s="2978"/>
      <c r="Q120" s="2945"/>
      <c r="R120" s="2946"/>
      <c r="S120" s="2946"/>
      <c r="T120" s="2946"/>
      <c r="U120" s="2946"/>
      <c r="V120" s="2946"/>
      <c r="W120" s="2946"/>
      <c r="X120" s="2946"/>
      <c r="Y120" s="2946"/>
      <c r="Z120" s="2946"/>
      <c r="AA120" s="2946"/>
      <c r="AB120" s="2946"/>
      <c r="AC120" s="2946"/>
      <c r="AD120" s="2946"/>
      <c r="AE120" s="2946"/>
    </row>
    <row r="121" spans="1:31" s="430" customFormat="1" ht="15.75" thickBot="1">
      <c r="A121" s="525"/>
      <c r="B121" s="656"/>
      <c r="C121" s="527"/>
      <c r="D121" s="527"/>
      <c r="E121" s="527"/>
      <c r="F121" s="527"/>
      <c r="G121" s="548"/>
      <c r="H121" s="548"/>
      <c r="I121" s="548"/>
      <c r="J121" s="548"/>
      <c r="K121" s="548"/>
      <c r="L121" s="548"/>
      <c r="M121" s="549"/>
      <c r="N121" s="2954"/>
      <c r="O121" s="2954"/>
      <c r="P121" s="2978"/>
      <c r="Q121" s="2945"/>
      <c r="R121" s="2946"/>
      <c r="S121" s="2946"/>
      <c r="T121" s="2946"/>
      <c r="U121" s="2946"/>
      <c r="V121" s="2946"/>
      <c r="W121" s="2946"/>
      <c r="X121" s="2946"/>
      <c r="Y121" s="2946"/>
      <c r="Z121" s="2946"/>
      <c r="AA121" s="2946"/>
      <c r="AB121" s="2946"/>
      <c r="AC121" s="2946"/>
      <c r="AD121" s="2946"/>
      <c r="AE121" s="2946"/>
    </row>
    <row r="122" spans="1:31">
      <c r="N122" s="2924"/>
      <c r="O122" s="2924"/>
      <c r="P122" s="2924"/>
      <c r="Q122" s="2924"/>
      <c r="R122" s="2924"/>
      <c r="S122" s="2924"/>
      <c r="T122" s="2924"/>
      <c r="U122" s="2924"/>
      <c r="V122" s="2924"/>
      <c r="W122" s="2924"/>
      <c r="X122" s="2924"/>
      <c r="Y122" s="2924"/>
      <c r="Z122" s="2924"/>
      <c r="AA122" s="2924"/>
      <c r="AB122" s="2924"/>
      <c r="AC122" s="2924"/>
      <c r="AD122" s="2924"/>
      <c r="AE122" s="2924"/>
    </row>
    <row r="123" spans="1:31">
      <c r="P123" s="2924"/>
      <c r="Q123" s="2924"/>
      <c r="R123" s="2924"/>
      <c r="S123" s="2924"/>
      <c r="T123" s="2924"/>
      <c r="U123" s="2924"/>
      <c r="V123" s="2924"/>
      <c r="W123" s="2924"/>
      <c r="X123" s="2924"/>
      <c r="Y123" s="2924"/>
      <c r="Z123" s="2924"/>
      <c r="AA123" s="2924"/>
      <c r="AB123" s="2924"/>
      <c r="AC123" s="2924"/>
      <c r="AD123" s="2924"/>
      <c r="AE123" s="292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2565</v>
      </c>
      <c r="B1" s="203"/>
      <c r="C1" s="207" t="s">
        <v>2566</v>
      </c>
      <c r="D1" s="348">
        <f>SUM(D29:D30,D33:D39)</f>
        <v>0</v>
      </c>
      <c r="E1" s="2151"/>
      <c r="F1" s="2151"/>
      <c r="G1" s="2151"/>
      <c r="H1" s="2151"/>
      <c r="I1" s="2151"/>
      <c r="J1" s="2151"/>
      <c r="K1" s="1252"/>
      <c r="L1" s="2152" t="s">
        <v>2567</v>
      </c>
      <c r="M1" s="994">
        <f>SUMPRODUCT((区片价!B5:B9=I2)*(区片价!C3:F3=E2)*(区片价!C5:F9))</f>
        <v>0</v>
      </c>
      <c r="N1" s="997">
        <f>SUMPRODUCT((因素修正幅度!B5:B9=I2)*(因素修正幅度!C3:F3=E2)*(因素修正幅度!C5:F9))</f>
        <v>0</v>
      </c>
      <c r="O1" s="2153"/>
      <c r="P1" s="2153"/>
      <c r="Q1" s="1252"/>
      <c r="R1" s="1346" t="s">
        <v>2568</v>
      </c>
      <c r="S1" s="1346" t="s">
        <v>2569</v>
      </c>
      <c r="T1" s="1346" t="s">
        <v>2570</v>
      </c>
      <c r="U1" s="1346" t="s">
        <v>2571</v>
      </c>
      <c r="V1" s="1346" t="s">
        <v>2572</v>
      </c>
      <c r="W1" s="1350"/>
      <c r="X1" s="1350"/>
      <c r="Y1" s="1350"/>
      <c r="Z1" s="1350"/>
      <c r="AA1" s="1350"/>
      <c r="AB1" s="1350"/>
      <c r="AC1" s="1351"/>
      <c r="AD1" s="1352"/>
      <c r="AE1" s="1352"/>
      <c r="AF1" s="1352"/>
      <c r="AG1" s="1352"/>
      <c r="AH1" s="1352"/>
      <c r="AI1" s="1352"/>
      <c r="AJ1" s="1353"/>
    </row>
    <row r="2" spans="1:36" ht="15.75">
      <c r="A2" s="207" t="s">
        <v>2573</v>
      </c>
      <c r="B2" s="210" t="e">
        <f>C26</f>
        <v>#DIV/0!</v>
      </c>
      <c r="C2" s="2155" t="s">
        <v>2574</v>
      </c>
      <c r="D2" s="2156" t="s">
        <v>2575</v>
      </c>
      <c r="E2" s="2157"/>
      <c r="F2" s="2156" t="s">
        <v>2576</v>
      </c>
      <c r="G2" s="2158">
        <f>IF(E2="商业",项目基本情况!B37,IF(E2="办公",项目基本情况!C37,IF(E2="住宅",项目基本情况!D37,项目基本情况!E37)))</f>
        <v>0</v>
      </c>
      <c r="H2" s="2156" t="s">
        <v>2577</v>
      </c>
      <c r="I2" s="2158">
        <f>IF(E2="商业",项目基本情况!B38,IF(E2="办公",项目基本情况!C38,IF(E2="住宅",项目基本情况!D38,项目基本情况!E38)))</f>
        <v>0</v>
      </c>
      <c r="J2" s="2159"/>
      <c r="K2" s="1252"/>
      <c r="L2" s="2160" t="s">
        <v>2578</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0</v>
      </c>
      <c r="T2" s="1346" t="e">
        <f>ROUND($C$5*$C$18*$C$19*$C$20*S2*$C$24,0)</f>
        <v>#DIV/0!</v>
      </c>
      <c r="U2" s="1347"/>
      <c r="V2" s="1346" t="e">
        <f>ROUND(T2*U2/10000,0)</f>
        <v>#DIV/0!</v>
      </c>
      <c r="W2" s="1350"/>
      <c r="X2" s="1350"/>
      <c r="Y2" s="1350"/>
      <c r="Z2" s="1350"/>
      <c r="AA2" s="1350"/>
      <c r="AB2" s="1350"/>
      <c r="AC2" s="1351"/>
      <c r="AD2" s="1352"/>
      <c r="AE2" s="1352"/>
      <c r="AF2" s="1352"/>
      <c r="AG2" s="1352"/>
      <c r="AH2" s="1352"/>
      <c r="AI2" s="1352"/>
      <c r="AJ2" s="1353"/>
    </row>
    <row r="3" spans="1:36" ht="15.75">
      <c r="A3" s="209" t="s">
        <v>2579</v>
      </c>
      <c r="B3" s="210" t="e">
        <f>ROUND(B2*10000/D1,0)</f>
        <v>#DIV/0!</v>
      </c>
      <c r="C3" s="2155" t="s">
        <v>2580</v>
      </c>
      <c r="D3" s="2156" t="s">
        <v>2581</v>
      </c>
      <c r="E3" s="2161"/>
      <c r="F3" s="2162" t="s">
        <v>2582</v>
      </c>
      <c r="G3" s="855">
        <f>IF(F3="宗地容积率",'数据-汇总表'!I4,IF(F3="估价对象容积率",'数据-汇总表'!I6,'数据-汇总表'!I7))</f>
        <v>2.5</v>
      </c>
      <c r="H3" s="175" t="s">
        <v>2583</v>
      </c>
      <c r="I3" s="881"/>
      <c r="J3" s="2159" t="s">
        <v>2584</v>
      </c>
      <c r="K3" s="1252"/>
      <c r="L3" s="2160" t="s">
        <v>2585</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0</v>
      </c>
      <c r="T3" s="1346" t="e">
        <f t="shared" ref="T3:T16" si="0">ROUND($C$5*$C$18*$C$19*$C$20*S3*$C$24,0)</f>
        <v>#DIV/0!</v>
      </c>
      <c r="U3" s="1347"/>
      <c r="V3" s="1346" t="e">
        <f t="shared" ref="V3:V16" si="1">ROUND(T3*U3/10000,0)</f>
        <v>#DIV/0!</v>
      </c>
      <c r="W3" s="1350"/>
      <c r="X3" s="1350"/>
      <c r="Y3" s="1350"/>
      <c r="Z3" s="1350"/>
      <c r="AA3" s="1350"/>
      <c r="AB3" s="1350"/>
      <c r="AC3" s="1351"/>
      <c r="AD3" s="1352"/>
      <c r="AE3" s="1352"/>
      <c r="AF3" s="1352"/>
      <c r="AG3" s="1352"/>
      <c r="AH3" s="1352"/>
      <c r="AI3" s="1352"/>
      <c r="AJ3" s="1353"/>
    </row>
    <row r="4" spans="1:36" ht="15.75">
      <c r="A4" s="3684"/>
      <c r="B4" s="3685"/>
      <c r="C4" s="3685"/>
      <c r="D4" s="3686"/>
      <c r="E4" s="3686"/>
      <c r="F4" s="3686"/>
      <c r="G4" s="3686"/>
      <c r="H4" s="3686"/>
      <c r="I4" s="3686"/>
      <c r="J4" s="3687"/>
      <c r="K4" s="1252"/>
      <c r="L4" s="2160" t="s">
        <v>2586</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0</v>
      </c>
      <c r="T4" s="1346" t="e">
        <f t="shared" si="0"/>
        <v>#DIV/0!</v>
      </c>
      <c r="U4" s="1347"/>
      <c r="V4" s="1346" t="e">
        <f t="shared" si="1"/>
        <v>#DIV/0!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2587</v>
      </c>
      <c r="C5" s="856" t="e">
        <f>ROUND(IF(E2="商业",C6*C7+C16,(IF(E2="住宅",C6*C12+C16,C6+C16))),0)</f>
        <v>#DIV/0!</v>
      </c>
      <c r="D5" s="1493" t="e">
        <f>ROUND(C6+C16,0)</f>
        <v>#DIV/0!</v>
      </c>
      <c r="E5" s="1493"/>
      <c r="F5" s="2165"/>
      <c r="G5" s="2166"/>
      <c r="H5" s="2166"/>
      <c r="I5" s="2166"/>
      <c r="J5" s="2167"/>
      <c r="K5" s="2168"/>
      <c r="L5" s="2160" t="s">
        <v>2588</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v>
      </c>
      <c r="T5" s="1346" t="e">
        <f t="shared" si="0"/>
        <v>#DIV/0!</v>
      </c>
      <c r="U5" s="1347"/>
      <c r="V5" s="1346" t="e">
        <f t="shared" si="1"/>
        <v>#DIV/0!</v>
      </c>
      <c r="W5" s="1350"/>
      <c r="X5" s="1350"/>
      <c r="Y5" s="1350"/>
      <c r="Z5" s="1350"/>
      <c r="AA5" s="1350"/>
      <c r="AB5" s="1350"/>
      <c r="AC5" s="2169"/>
      <c r="AD5" s="2170"/>
      <c r="AE5" s="2170"/>
      <c r="AF5" s="2170"/>
      <c r="AG5" s="2170"/>
      <c r="AH5" s="2170"/>
      <c r="AI5" s="2170"/>
      <c r="AJ5" s="2171"/>
    </row>
    <row r="6" spans="1:36" ht="15.75" thickBot="1">
      <c r="A6" s="2173" t="s">
        <v>2589</v>
      </c>
      <c r="B6" s="2174" t="s">
        <v>2590</v>
      </c>
      <c r="C6" s="857">
        <f>SUMIF(L1:L12,G2,M1:M12)</f>
        <v>0</v>
      </c>
      <c r="D6" s="2175" t="s">
        <v>2591</v>
      </c>
      <c r="E6" s="2176"/>
      <c r="F6" s="2176"/>
      <c r="G6" s="2177"/>
      <c r="H6" s="2177"/>
      <c r="I6" s="2177"/>
      <c r="J6" s="2178"/>
      <c r="K6" s="1538"/>
      <c r="L6" s="2160" t="s">
        <v>2592</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0</v>
      </c>
      <c r="T6" s="1346" t="e">
        <f t="shared" si="0"/>
        <v>#DIV/0!</v>
      </c>
      <c r="U6" s="1347"/>
      <c r="V6" s="1346" t="e">
        <f t="shared" si="1"/>
        <v>#DIV/0!</v>
      </c>
      <c r="W6" s="1350"/>
      <c r="X6" s="1350"/>
      <c r="Y6" s="1350"/>
      <c r="Z6" s="1350"/>
      <c r="AA6" s="1350"/>
      <c r="AB6" s="1350"/>
      <c r="AC6" s="2169"/>
      <c r="AD6" s="2170"/>
      <c r="AE6" s="2170"/>
      <c r="AF6" s="2170"/>
      <c r="AG6" s="2170"/>
      <c r="AH6" s="2170"/>
      <c r="AI6" s="2170"/>
      <c r="AJ6" s="2171"/>
    </row>
    <row r="7" spans="1:36" ht="24">
      <c r="A7" s="3665" t="str">
        <f>IF(E2="商业",IF(C8="不临58条商业街","",2),"")</f>
        <v/>
      </c>
      <c r="B7" s="2179" t="s">
        <v>2593</v>
      </c>
      <c r="C7" s="858" t="e">
        <f>IF(C8="不临58条商业街",1,ROUND(1+(1.6*E8+1.2*E9+0.8*E10+0.4*E11)*C9,4))</f>
        <v>#DIV/0!</v>
      </c>
      <c r="D7" s="2180" t="s">
        <v>2594</v>
      </c>
      <c r="E7" s="882"/>
      <c r="F7" s="2181"/>
      <c r="G7" s="2182"/>
      <c r="H7" s="2182"/>
      <c r="I7" s="2182"/>
      <c r="J7" s="2183"/>
      <c r="K7" s="1538"/>
      <c r="L7" s="2160" t="s">
        <v>2595</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v>
      </c>
      <c r="T7" s="1346" t="e">
        <f t="shared" si="0"/>
        <v>#DIV/0!</v>
      </c>
      <c r="U7" s="1347"/>
      <c r="V7" s="1346" t="e">
        <f t="shared" si="1"/>
        <v>#DIV/0!</v>
      </c>
      <c r="W7" s="1512" t="s">
        <v>2596</v>
      </c>
      <c r="X7" s="1348">
        <f>G2</f>
        <v>0</v>
      </c>
      <c r="Y7" s="1348" t="s">
        <v>2597</v>
      </c>
      <c r="Z7" s="1349">
        <f>G3</f>
        <v>2.5</v>
      </c>
      <c r="AA7" s="1350"/>
      <c r="AB7" s="1350"/>
      <c r="AC7" s="1351"/>
      <c r="AD7" s="1352"/>
      <c r="AE7" s="1352"/>
      <c r="AF7" s="1352"/>
      <c r="AG7" s="1352"/>
      <c r="AH7" s="1352"/>
      <c r="AI7" s="1352"/>
      <c r="AJ7" s="1353"/>
    </row>
    <row r="8" spans="1:36" ht="15">
      <c r="A8" s="3688"/>
      <c r="B8" s="175" t="s">
        <v>2598</v>
      </c>
      <c r="C8" s="2184"/>
      <c r="D8" s="859" t="s">
        <v>139</v>
      </c>
      <c r="E8" s="860" t="e">
        <f>ROUND(C11/E7,4)</f>
        <v>#DIV/0!</v>
      </c>
      <c r="F8" s="2185" t="s">
        <v>2599</v>
      </c>
      <c r="G8" s="2186"/>
      <c r="H8" s="2186"/>
      <c r="I8" s="2186"/>
      <c r="J8" s="2187"/>
      <c r="K8" s="1252"/>
      <c r="L8" s="2160" t="s">
        <v>2600</v>
      </c>
      <c r="M8" s="995">
        <f>SUMPRODUCT((区片价!B206:B244=I2)*(区片价!C3:F3=E2)*(区片价!C206:F244))</f>
        <v>0</v>
      </c>
      <c r="N8" s="997">
        <f>SUMPRODUCT((因素修正幅度!B206:B244=I2)*(因素修正幅度!C3:F3=E2)*(因素修正幅度!C206:F244))</f>
        <v>0</v>
      </c>
      <c r="O8" s="1252"/>
      <c r="P8" s="1252"/>
      <c r="Q8" s="1252"/>
      <c r="R8" s="1346">
        <v>7</v>
      </c>
      <c r="S8" s="1347"/>
      <c r="T8" s="1346" t="e">
        <f t="shared" si="0"/>
        <v>#DIV/0!</v>
      </c>
      <c r="U8" s="1347"/>
      <c r="V8" s="1346" t="e">
        <f t="shared" si="1"/>
        <v>#DIV/0!</v>
      </c>
      <c r="W8" s="3681" t="s">
        <v>2601</v>
      </c>
      <c r="X8" s="3682"/>
      <c r="Y8" s="1354" t="s">
        <v>2602</v>
      </c>
      <c r="Z8" s="1354" t="s">
        <v>2603</v>
      </c>
      <c r="AA8" s="1354" t="s">
        <v>2604</v>
      </c>
      <c r="AB8" s="1354" t="s">
        <v>2605</v>
      </c>
      <c r="AC8" s="1354" t="s">
        <v>2606</v>
      </c>
      <c r="AD8" s="1354" t="s">
        <v>2607</v>
      </c>
      <c r="AE8" s="1354" t="s">
        <v>2608</v>
      </c>
      <c r="AF8" s="1354" t="s">
        <v>2609</v>
      </c>
      <c r="AG8" s="1354" t="s">
        <v>2610</v>
      </c>
      <c r="AH8" s="1354" t="s">
        <v>2611</v>
      </c>
      <c r="AI8" s="1354" t="s">
        <v>2612</v>
      </c>
      <c r="AJ8" s="1354" t="s">
        <v>2613</v>
      </c>
    </row>
    <row r="9" spans="1:36" ht="15">
      <c r="A9" s="3688"/>
      <c r="B9" s="175" t="s">
        <v>2614</v>
      </c>
      <c r="C9" s="861">
        <f>SUMIF(修正!C59:C119,C8,修正!E59:E119)</f>
        <v>0</v>
      </c>
      <c r="D9" s="176" t="s">
        <v>140</v>
      </c>
      <c r="E9" s="176" t="e">
        <f>ROUND(C11/E7,4)</f>
        <v>#DIV/0!</v>
      </c>
      <c r="F9" s="2185" t="s">
        <v>2615</v>
      </c>
      <c r="G9" s="2186"/>
      <c r="H9" s="2186"/>
      <c r="I9" s="2186"/>
      <c r="J9" s="2187"/>
      <c r="K9" s="1252"/>
      <c r="L9" s="2160" t="s">
        <v>2616</v>
      </c>
      <c r="M9" s="995">
        <f>SUMPRODUCT((区片价!B245:B289=I2)*(区片价!C3:F3=E2)*(区片价!C245:F289))</f>
        <v>0</v>
      </c>
      <c r="N9" s="997">
        <f>SUMPRODUCT((因素修正幅度!B245:B289=I2)*(因素修正幅度!C3:F3=E2)*(因素修正幅度!C245:F289))</f>
        <v>0</v>
      </c>
      <c r="O9" s="1252"/>
      <c r="P9" s="1252"/>
      <c r="Q9" s="1252"/>
      <c r="R9" s="1346">
        <v>8</v>
      </c>
      <c r="S9" s="1347"/>
      <c r="T9" s="1346" t="e">
        <f t="shared" si="0"/>
        <v>#DIV/0!</v>
      </c>
      <c r="U9" s="1347"/>
      <c r="V9" s="1346" t="e">
        <f t="shared" si="1"/>
        <v>#DIV/0!</v>
      </c>
      <c r="W9" s="3683" t="s">
        <v>2617</v>
      </c>
      <c r="X9" s="1355" t="s">
        <v>2618</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688"/>
      <c r="B10" s="175" t="s">
        <v>2619</v>
      </c>
      <c r="C10" s="176">
        <f>SUMIF(修正!C59:C119,C8,修正!F59:F119)</f>
        <v>0</v>
      </c>
      <c r="D10" s="176" t="s">
        <v>141</v>
      </c>
      <c r="E10" s="176" t="e">
        <f>ROUND(C11/E7,4)</f>
        <v>#DIV/0!</v>
      </c>
      <c r="F10" s="2185" t="s">
        <v>2620</v>
      </c>
      <c r="G10" s="2186"/>
      <c r="H10" s="2186"/>
      <c r="I10" s="2186"/>
      <c r="J10" s="2187"/>
      <c r="K10" s="1252"/>
      <c r="L10" s="2160" t="s">
        <v>2621</v>
      </c>
      <c r="M10" s="995">
        <f>SUMPRODUCT((区片价!B290:B316=I2)*(区片价!C3:F3=E2)*(区片价!C290:F316))</f>
        <v>0</v>
      </c>
      <c r="N10" s="997">
        <f>SUMPRODUCT((因素修正幅度!B290:B316=I2)*(因素修正幅度!C3:F3=E2)*(因素修正幅度!C290:F316))</f>
        <v>0</v>
      </c>
      <c r="O10" s="1252"/>
      <c r="P10" s="1252"/>
      <c r="Q10" s="1252"/>
      <c r="R10" s="1346">
        <v>9</v>
      </c>
      <c r="S10" s="1347"/>
      <c r="T10" s="1346" t="e">
        <f t="shared" si="0"/>
        <v>#DIV/0!</v>
      </c>
      <c r="U10" s="1347"/>
      <c r="V10" s="1346" t="e">
        <f t="shared" si="1"/>
        <v>#DIV/0!</v>
      </c>
      <c r="W10" s="3683"/>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688"/>
      <c r="B11" s="2188" t="s">
        <v>2622</v>
      </c>
      <c r="C11" s="862">
        <f>C10/4</f>
        <v>0</v>
      </c>
      <c r="D11" s="862" t="s">
        <v>142</v>
      </c>
      <c r="E11" s="862" t="e">
        <f>ROUND(C11/E7,4)</f>
        <v>#DIV/0!</v>
      </c>
      <c r="F11" s="2189" t="s">
        <v>2623</v>
      </c>
      <c r="G11" s="2190"/>
      <c r="H11" s="2190"/>
      <c r="I11" s="2190"/>
      <c r="J11" s="2191"/>
      <c r="K11" s="1252"/>
      <c r="L11" s="2160" t="s">
        <v>2624</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t="e">
        <f t="shared" si="0"/>
        <v>#DIV/0!</v>
      </c>
      <c r="U11" s="1347"/>
      <c r="V11" s="1346" t="e">
        <f t="shared" si="1"/>
        <v>#DIV/0!</v>
      </c>
      <c r="W11" s="3683" t="s">
        <v>2625</v>
      </c>
      <c r="X11" s="1358" t="s">
        <v>2626</v>
      </c>
      <c r="Y11" s="1359">
        <f>$G$3</f>
        <v>2.5</v>
      </c>
      <c r="Z11" s="1359">
        <f t="shared" ref="Z11:AJ11" si="3">$G$3</f>
        <v>2.5</v>
      </c>
      <c r="AA11" s="1359">
        <f t="shared" si="3"/>
        <v>2.5</v>
      </c>
      <c r="AB11" s="1359">
        <f t="shared" si="3"/>
        <v>2.5</v>
      </c>
      <c r="AC11" s="1359">
        <f t="shared" si="3"/>
        <v>2.5</v>
      </c>
      <c r="AD11" s="1359">
        <f t="shared" si="3"/>
        <v>2.5</v>
      </c>
      <c r="AE11" s="1359">
        <f t="shared" si="3"/>
        <v>2.5</v>
      </c>
      <c r="AF11" s="1359">
        <f t="shared" si="3"/>
        <v>2.5</v>
      </c>
      <c r="AG11" s="1359">
        <f t="shared" si="3"/>
        <v>2.5</v>
      </c>
      <c r="AH11" s="1359">
        <f t="shared" si="3"/>
        <v>2.5</v>
      </c>
      <c r="AI11" s="1359">
        <f t="shared" si="3"/>
        <v>2.5</v>
      </c>
      <c r="AJ11" s="1359">
        <f t="shared" si="3"/>
        <v>2.5</v>
      </c>
    </row>
    <row r="12" spans="1:36" ht="25.5" thickBot="1">
      <c r="A12" s="3665" t="s">
        <v>2627</v>
      </c>
      <c r="B12" s="2192" t="s">
        <v>2628</v>
      </c>
      <c r="C12" s="858">
        <f>ROUND(C15*D15*E15*F15*G15*H15*I15*J15,4)</f>
        <v>1</v>
      </c>
      <c r="D12" s="2193" t="s">
        <v>2629</v>
      </c>
      <c r="E12" s="2194"/>
      <c r="F12" s="2194"/>
      <c r="G12" s="2195"/>
      <c r="H12" s="2195"/>
      <c r="I12" s="2195"/>
      <c r="J12" s="2196"/>
      <c r="K12" s="1252"/>
      <c r="L12" s="2197" t="s">
        <v>2630</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t="e">
        <f t="shared" si="0"/>
        <v>#DIV/0!</v>
      </c>
      <c r="U12" s="1347"/>
      <c r="V12" s="1346" t="e">
        <f t="shared" si="1"/>
        <v>#DIV/0!</v>
      </c>
      <c r="W12" s="3683"/>
      <c r="X12" s="1360" t="s">
        <v>2631</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689"/>
      <c r="B13" s="2198" t="s">
        <v>2632</v>
      </c>
      <c r="C13" s="2199" t="s">
        <v>2633</v>
      </c>
      <c r="D13" s="1504" t="s">
        <v>2634</v>
      </c>
      <c r="E13" s="1504" t="s">
        <v>2635</v>
      </c>
      <c r="F13" s="30" t="s">
        <v>2636</v>
      </c>
      <c r="G13" s="2200" t="s">
        <v>2637</v>
      </c>
      <c r="H13" s="2200" t="s">
        <v>2637</v>
      </c>
      <c r="I13" s="2200" t="s">
        <v>2637</v>
      </c>
      <c r="J13" s="2201" t="s">
        <v>2637</v>
      </c>
      <c r="K13" s="1252"/>
      <c r="L13" s="1252"/>
      <c r="M13" s="1252"/>
      <c r="N13" s="1252"/>
      <c r="O13" s="1252"/>
      <c r="P13" s="1252"/>
      <c r="Q13" s="1252"/>
      <c r="R13" s="1346">
        <v>12</v>
      </c>
      <c r="S13" s="1347"/>
      <c r="T13" s="1346" t="e">
        <f t="shared" si="0"/>
        <v>#DIV/0!</v>
      </c>
      <c r="U13" s="1347"/>
      <c r="V13" s="1346" t="e">
        <f t="shared" si="1"/>
        <v>#DIV/0!</v>
      </c>
      <c r="W13" s="3683"/>
      <c r="X13" s="1360"/>
      <c r="Y13" s="1357">
        <f>(-0.163*(Y12^2)-0.59*Y12+7617)*(10^(-4))/Y11</f>
        <v>0.30468000000000001</v>
      </c>
      <c r="Z13" s="1357">
        <f t="shared" ref="Z13:AJ13" si="5">(-0.163*(Z12^2)-0.59*Z12+7617)*(10^(-4))/Z11</f>
        <v>0.30468000000000001</v>
      </c>
      <c r="AA13" s="1357">
        <f t="shared" si="5"/>
        <v>0.30468000000000001</v>
      </c>
      <c r="AB13" s="1357">
        <f t="shared" si="5"/>
        <v>0.30468000000000001</v>
      </c>
      <c r="AC13" s="1357">
        <f t="shared" si="5"/>
        <v>0.30468000000000001</v>
      </c>
      <c r="AD13" s="1357">
        <f t="shared" si="5"/>
        <v>0.30468000000000001</v>
      </c>
      <c r="AE13" s="1357">
        <f t="shared" si="5"/>
        <v>0.30468000000000001</v>
      </c>
      <c r="AF13" s="1357">
        <f t="shared" si="5"/>
        <v>0.30468000000000001</v>
      </c>
      <c r="AG13" s="1357">
        <f t="shared" si="5"/>
        <v>0.30468000000000001</v>
      </c>
      <c r="AH13" s="1357">
        <f t="shared" si="5"/>
        <v>0.30468000000000001</v>
      </c>
      <c r="AI13" s="1357">
        <f t="shared" si="5"/>
        <v>0.30468000000000001</v>
      </c>
      <c r="AJ13" s="1357">
        <f t="shared" si="5"/>
        <v>0.30468000000000001</v>
      </c>
    </row>
    <row r="14" spans="1:36" ht="15">
      <c r="A14" s="3689"/>
      <c r="B14" s="2202"/>
      <c r="C14" s="2203"/>
      <c r="D14" s="2204"/>
      <c r="E14" s="2204"/>
      <c r="F14" s="2205"/>
      <c r="G14" s="2206" t="s">
        <v>2638</v>
      </c>
      <c r="H14" s="2207"/>
      <c r="I14" s="2208"/>
      <c r="J14" s="2209"/>
      <c r="K14" s="1252"/>
      <c r="L14" s="1252"/>
      <c r="M14" s="1252"/>
      <c r="N14" s="1252"/>
      <c r="O14" s="1252"/>
      <c r="P14" s="1252"/>
      <c r="Q14" s="1252"/>
      <c r="R14" s="1346">
        <v>13</v>
      </c>
      <c r="S14" s="1347"/>
      <c r="T14" s="1346" t="e">
        <f t="shared" si="0"/>
        <v>#DIV/0!</v>
      </c>
      <c r="U14" s="1347"/>
      <c r="V14" s="1346" t="e">
        <f t="shared" si="1"/>
        <v>#DIV/0!</v>
      </c>
      <c r="W14" s="1350"/>
      <c r="X14" s="1350"/>
      <c r="Y14" s="1350"/>
      <c r="Z14" s="1350"/>
      <c r="AA14" s="1350"/>
      <c r="AB14" s="1350"/>
      <c r="AC14" s="1351"/>
      <c r="AD14" s="2990"/>
      <c r="AE14" s="2990"/>
      <c r="AF14" s="2990"/>
      <c r="AG14" s="2990"/>
      <c r="AH14" s="2990"/>
      <c r="AI14" s="2990"/>
      <c r="AJ14" s="2991"/>
    </row>
    <row r="15" spans="1:36" ht="15.75" thickBot="1">
      <c r="A15" s="3690"/>
      <c r="B15" s="2210" t="s">
        <v>2639</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t="e">
        <f t="shared" si="0"/>
        <v>#DIV/0!</v>
      </c>
      <c r="U15" s="1347"/>
      <c r="V15" s="1346" t="e">
        <f t="shared" si="1"/>
        <v>#DIV/0!</v>
      </c>
      <c r="W15" s="1350"/>
      <c r="X15" s="1350"/>
      <c r="Y15" s="1350"/>
      <c r="Z15" s="1350"/>
      <c r="AA15" s="1350"/>
      <c r="AB15" s="1350"/>
      <c r="AC15" s="1351"/>
      <c r="AD15" s="2990"/>
      <c r="AE15" s="2990"/>
      <c r="AF15" s="2990"/>
      <c r="AG15" s="2990"/>
      <c r="AH15" s="2990"/>
      <c r="AI15" s="2990"/>
      <c r="AJ15" s="2991"/>
    </row>
    <row r="16" spans="1:36" ht="24.6" customHeight="1">
      <c r="A16" s="3665" t="s">
        <v>2644</v>
      </c>
      <c r="B16" s="2179" t="s">
        <v>2645</v>
      </c>
      <c r="C16" s="2341" t="e">
        <f>ROUND(IF(F17="与级别开发程度一致",0,(G17-E17)/C17),0)</f>
        <v>#DIV/0!</v>
      </c>
      <c r="D16" s="3678" t="s">
        <v>2649</v>
      </c>
      <c r="E16" s="3679"/>
      <c r="F16" s="3678" t="s">
        <v>2646</v>
      </c>
      <c r="G16" s="3679"/>
      <c r="H16" s="2211"/>
      <c r="I16" s="2211"/>
      <c r="J16" s="2345"/>
      <c r="K16" s="2211"/>
      <c r="L16" s="2211"/>
      <c r="M16" s="2211"/>
      <c r="N16" s="2211"/>
      <c r="O16" s="2212"/>
      <c r="P16" s="2153"/>
      <c r="Q16" s="1252"/>
      <c r="R16" s="1346">
        <v>15</v>
      </c>
      <c r="S16" s="1347"/>
      <c r="T16" s="1346" t="e">
        <f t="shared" si="0"/>
        <v>#DIV/0!</v>
      </c>
      <c r="U16" s="1347"/>
      <c r="V16" s="1346" t="e">
        <f t="shared" si="1"/>
        <v>#DIV/0!</v>
      </c>
      <c r="W16" s="1350"/>
      <c r="X16" s="1350"/>
      <c r="Y16" s="1350"/>
      <c r="Z16" s="1350"/>
      <c r="AA16" s="1350"/>
      <c r="AB16" s="1350"/>
      <c r="AC16" s="1351"/>
      <c r="AD16" s="2990"/>
      <c r="AE16" s="2990"/>
      <c r="AF16" s="2990"/>
      <c r="AG16" s="2990"/>
      <c r="AH16" s="2990"/>
      <c r="AI16" s="2990"/>
      <c r="AJ16" s="2991"/>
    </row>
    <row r="17" spans="1:37" ht="13.5" thickBot="1">
      <c r="A17" s="3666"/>
      <c r="B17" s="2352" t="s">
        <v>2648</v>
      </c>
      <c r="C17" s="2353">
        <f>SUMPRODUCT((修正!A2:A5=E2)*(修正!B1:M1=G2)*(修正!B2:M5))</f>
        <v>0</v>
      </c>
      <c r="D17" s="193" t="str">
        <f>IF(OR(G2="八级",G2="九级",G2="十级",G2="十一级",G2="十二级"),"五通一平","七通一平")</f>
        <v>七通一平</v>
      </c>
      <c r="E17" s="2342">
        <f>SUMPRODUCT((修正!B1:M1=G2)*(修正!B15:M15))</f>
        <v>0</v>
      </c>
      <c r="F17" s="2343"/>
      <c r="G17" s="2344">
        <f>SUM(H17:O17)</f>
        <v>0</v>
      </c>
      <c r="H17" s="2353">
        <f>SUMPRODUCT((七通一平=H16)*(修正!B1:M1=G2)*(修正!B6:M14))</f>
        <v>0</v>
      </c>
      <c r="I17" s="2353">
        <f>SUMPRODUCT((七通一平=I16)*(修正!B1:M1=G2)*(修正!B6:M14))</f>
        <v>0</v>
      </c>
      <c r="J17" s="2354">
        <f>SUMPRODUCT((七通一平=J16)*(修正!B1:M1=G2)*(修正!B6:M14))</f>
        <v>0</v>
      </c>
      <c r="K17" s="2353">
        <f>SUMPRODUCT((七通一平=K16)*(修正!B1:M1=G2)*(修正!B6:M14))</f>
        <v>0</v>
      </c>
      <c r="L17" s="2353">
        <f>SUMPRODUCT((七通一平=L16)*(修正!B1:M1=G2)*(修正!B6:M14))</f>
        <v>0</v>
      </c>
      <c r="M17" s="2353">
        <f>SUMPRODUCT((七通一平=M16)*(修正!B1:M1=G2)*(修正!B6:M14))</f>
        <v>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2651</v>
      </c>
      <c r="C18" s="2348">
        <f>SUMIF(修正!C18:C39,E3,修正!E18:E39)</f>
        <v>0</v>
      </c>
      <c r="D18" s="2349"/>
      <c r="E18" s="2350"/>
      <c r="F18" s="2350"/>
      <c r="G18" s="2350"/>
      <c r="H18" s="2350"/>
      <c r="I18" s="2350"/>
      <c r="J18" s="2351"/>
      <c r="K18" s="1259"/>
      <c r="L18" s="2989"/>
      <c r="M18" s="2989"/>
      <c r="N18" s="2989"/>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9"/>
    </row>
    <row r="19" spans="1:37" s="2172" customFormat="1" ht="27.75" thickBot="1">
      <c r="A19" s="2216" t="s">
        <v>809</v>
      </c>
      <c r="B19" s="2217" t="s">
        <v>2652</v>
      </c>
      <c r="C19" s="863" t="e">
        <f>ROUND(IF(H19="按公示增长率计算",SUMPRODUCT((地价!A3:A36=YEAR(G19)&amp;"-"&amp;ROUNDUP(MONTH(G19)/3,0))*(地价!X2:AB2=E2)*(地价!X3:AB36)),IF(H19="地价指数",M20/M19,(1+I19)^O19)),4)</f>
        <v>#VALUE!</v>
      </c>
      <c r="D19" s="2221" t="s">
        <v>2653</v>
      </c>
      <c r="E19" s="864">
        <v>41640</v>
      </c>
      <c r="F19" s="2221" t="s">
        <v>2654</v>
      </c>
      <c r="G19" s="865">
        <f>'数据-取费表'!B2</f>
        <v>44543</v>
      </c>
      <c r="H19" s="2222"/>
      <c r="I19" s="866" t="str">
        <f>IF(H19="季度增幅（自定义）",SUMIF(N21:N24,E2,O21:O24),"")</f>
        <v/>
      </c>
      <c r="J19" s="2219"/>
      <c r="K19" s="1259"/>
      <c r="L19" s="2223" t="s">
        <v>2655</v>
      </c>
      <c r="M19" s="1468">
        <f>ROUND(SUMIF(地价!B2:F2,E2,地价!B36:F36),0)</f>
        <v>0</v>
      </c>
      <c r="N19" s="2224" t="s">
        <v>2656</v>
      </c>
      <c r="O19" s="867">
        <f>ROUNDDOWN(DATEDIF(E19,G19,"M")/3,0)</f>
        <v>31</v>
      </c>
      <c r="P19" s="1256"/>
      <c r="Q19" s="1258"/>
      <c r="R19" s="1258"/>
      <c r="S19" s="1258"/>
      <c r="T19" s="1253"/>
      <c r="U19" s="1253"/>
      <c r="V19" s="1253"/>
      <c r="W19" s="1252"/>
      <c r="X19" s="1252"/>
      <c r="Y19" s="1252"/>
      <c r="Z19" s="1259"/>
      <c r="AA19" s="1259"/>
      <c r="AB19" s="1259"/>
      <c r="AC19" s="1259"/>
      <c r="AD19" s="1259"/>
      <c r="AE19" s="1259"/>
      <c r="AF19" s="1258"/>
      <c r="AG19" s="2992"/>
      <c r="AH19" s="2310"/>
      <c r="AI19" s="2993"/>
      <c r="AJ19" s="2993"/>
      <c r="AK19" s="2225"/>
    </row>
    <row r="20" spans="1:37" s="2172" customFormat="1" ht="27.75" thickBot="1">
      <c r="A20" s="2226" t="s">
        <v>810</v>
      </c>
      <c r="B20" s="2227" t="s">
        <v>2657</v>
      </c>
      <c r="C20" s="868" t="e">
        <f>ROUND(POWER(1+G20,J20-I20)*(POWER(1+G20,I20)-1)/(POWER(1+G20,J20)-1),4)</f>
        <v>#DIV/0!</v>
      </c>
      <c r="D20" s="2228" t="s">
        <v>2658</v>
      </c>
      <c r="E20" s="1475">
        <f>存贷款利率!E18/100</f>
        <v>4.3499999999999997E-2</v>
      </c>
      <c r="F20" s="2228" t="s">
        <v>2650</v>
      </c>
      <c r="G20" s="873">
        <f>SUMIF(M26:P26,E2,M28:P28)</f>
        <v>0</v>
      </c>
      <c r="H20" s="2228" t="s">
        <v>2659</v>
      </c>
      <c r="I20" s="874" t="e">
        <f>SUMIF('数据-取费表'!C6:C15,E2,'数据-取费表'!F6:F15)/COUNTIF('数据-取费表'!C6:C15,E2)</f>
        <v>#DIV/0!</v>
      </c>
      <c r="J20" s="875">
        <f>IF(E2="住宅",70,IF(E2="商业",40,50))</f>
        <v>50</v>
      </c>
      <c r="K20" s="1259"/>
      <c r="L20" s="2229" t="s">
        <v>2660</v>
      </c>
      <c r="M20" s="1469">
        <f>ROUND(SUMPRODUCT((地价!A4:A36=YEAR(G19)&amp;"-"&amp;ROUNDUP(MONTH(G19)/3,0))*(地价!B2:F2=E2)*(地价!B4:F36)),0)</f>
        <v>0</v>
      </c>
      <c r="N20" s="2230" t="s">
        <v>2661</v>
      </c>
      <c r="O20" s="2231" t="s">
        <v>2662</v>
      </c>
      <c r="P20" s="2232" t="s">
        <v>2663</v>
      </c>
      <c r="Q20" s="2989"/>
      <c r="R20" s="1258"/>
      <c r="S20" s="1258"/>
      <c r="T20" s="1253"/>
      <c r="U20" s="1253"/>
      <c r="V20" s="1253"/>
      <c r="W20" s="1252"/>
      <c r="X20" s="1252"/>
      <c r="Y20" s="1252"/>
      <c r="Z20" s="1259"/>
      <c r="AA20" s="1259"/>
      <c r="AB20" s="1259"/>
      <c r="AC20" s="1259"/>
      <c r="AD20" s="1259"/>
      <c r="AE20" s="1259"/>
      <c r="AF20" s="1259"/>
      <c r="AG20" s="2989"/>
      <c r="AH20" s="2989"/>
      <c r="AI20" s="2989"/>
      <c r="AJ20" s="2989"/>
    </row>
    <row r="21" spans="1:37" s="2172" customFormat="1" ht="15">
      <c r="A21" s="2233" t="s">
        <v>811</v>
      </c>
      <c r="B21" s="2234" t="s">
        <v>2664</v>
      </c>
      <c r="C21" s="876">
        <f>IF(B21="容积率修正",IF(G3&lt;=10,D22,J22),C23)</f>
        <v>0</v>
      </c>
      <c r="D21" s="2235"/>
      <c r="E21" s="2235"/>
      <c r="F21" s="2235"/>
      <c r="G21" s="2235"/>
      <c r="H21" s="2235"/>
      <c r="I21" s="2235"/>
      <c r="J21" s="2236"/>
      <c r="K21" s="1259"/>
      <c r="L21" s="2989"/>
      <c r="M21" s="2989"/>
      <c r="N21" s="2237" t="s">
        <v>2665</v>
      </c>
      <c r="O21" s="1307"/>
      <c r="P21" s="1308">
        <f>SUMPRODUCT((地价!A3:A36=YEAR(G19)&amp;"-"&amp;ROUNDUP(MONTH(G19)/3,0))*(地价!AD2:AH2=N21)*(地价!AD3:AH36))</f>
        <v>1.0500000000000001E-2</v>
      </c>
      <c r="Q21" s="2989"/>
      <c r="R21" s="1258"/>
      <c r="S21" s="1258"/>
      <c r="T21" s="1253"/>
      <c r="U21" s="1253"/>
      <c r="V21" s="1253"/>
      <c r="W21" s="1252"/>
      <c r="X21" s="1252"/>
      <c r="Y21" s="1252"/>
      <c r="Z21" s="1259"/>
      <c r="AA21" s="1259"/>
      <c r="AB21" s="1259"/>
      <c r="AC21" s="1259"/>
      <c r="AD21" s="1259"/>
      <c r="AE21" s="1259"/>
      <c r="AF21" s="1259"/>
      <c r="AG21" s="2989"/>
      <c r="AH21" s="2989"/>
      <c r="AI21" s="2989"/>
      <c r="AJ21" s="2989"/>
    </row>
    <row r="22" spans="1:37" s="2172" customFormat="1" ht="14.25">
      <c r="A22" s="2111" t="s">
        <v>2666</v>
      </c>
      <c r="B22" s="2238" t="s">
        <v>2667</v>
      </c>
      <c r="C22" s="1506" t="s">
        <v>2668</v>
      </c>
      <c r="D22" s="1506" t="b">
        <f>IF(E22=G22,F22,IF(G3&lt;=10,ROUND(F22+(H22-F22)*(G3-E22)/(G22-E22),4),"——"))</f>
        <v>0</v>
      </c>
      <c r="E22" s="855">
        <f>ROUNDDOWN(G3,1)</f>
        <v>2.5</v>
      </c>
      <c r="F22" s="15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2.5</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6" t="s">
        <v>155</v>
      </c>
      <c r="J22" s="877" t="str">
        <f>IF(G3&gt;10,D113,"——")</f>
        <v>——</v>
      </c>
      <c r="K22" s="1259"/>
      <c r="L22" s="2989"/>
      <c r="M22" s="2989"/>
      <c r="N22" s="2237" t="s">
        <v>2669</v>
      </c>
      <c r="O22" s="1307"/>
      <c r="P22" s="1308">
        <f>SUMPRODUCT((地价!A3:A36=YEAR(G19)&amp;"-"&amp;ROUNDUP(MONTH(G19)/3,0))*(地价!AD2:AH2=N22)*(地价!AD3:AH36))</f>
        <v>1.0500000000000001E-2</v>
      </c>
      <c r="Q22" s="2989"/>
      <c r="R22" s="1258"/>
      <c r="S22" s="1258"/>
      <c r="T22" s="1253"/>
      <c r="U22" s="1253"/>
      <c r="V22" s="1253"/>
      <c r="W22" s="1252"/>
      <c r="X22" s="1252"/>
      <c r="Y22" s="1252"/>
      <c r="Z22" s="1259"/>
      <c r="AA22" s="1259"/>
      <c r="AB22" s="1259"/>
      <c r="AC22" s="1259"/>
      <c r="AD22" s="1259"/>
      <c r="AE22" s="1259"/>
      <c r="AF22" s="1259"/>
      <c r="AG22" s="2989"/>
      <c r="AH22" s="2989"/>
      <c r="AI22" s="2989"/>
      <c r="AJ22" s="2989"/>
    </row>
    <row r="23" spans="1:37" ht="27.75" thickBot="1">
      <c r="A23" s="2111" t="s">
        <v>2670</v>
      </c>
      <c r="B23" s="2239" t="s">
        <v>2671</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2672</v>
      </c>
      <c r="O23" s="1307"/>
      <c r="P23" s="1308">
        <f>SUMPRODUCT((地价!A3:A36=YEAR(G19)&amp;"-"&amp;ROUNDUP(MONTH(G19)/3,0))*(地价!AD2:AH2=N23)*(地价!AD3:AH36))</f>
        <v>1.83E-2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2673</v>
      </c>
      <c r="C24" s="863">
        <f>SUMIF(A45:A88,E2,B45:B88)</f>
        <v>0</v>
      </c>
      <c r="D24" s="2218"/>
      <c r="E24" s="2245"/>
      <c r="F24" s="2245"/>
      <c r="G24" s="2245"/>
      <c r="H24" s="2245"/>
      <c r="I24" s="2245"/>
      <c r="J24" s="2246"/>
      <c r="K24" s="1259"/>
      <c r="L24" s="2989"/>
      <c r="M24" s="2989"/>
      <c r="N24" s="2247" t="s">
        <v>2674</v>
      </c>
      <c r="O24" s="1309"/>
      <c r="P24" s="1310">
        <f>SUMPRODUCT((地价!A3:A36=YEAR(G19)&amp;"-"&amp;ROUNDUP(MONTH(G19)/3,0))*(地价!AD2:AH2=N24)*(地价!AD3:AH36))</f>
        <v>1.2200000000000001E-2</v>
      </c>
      <c r="Q24" s="2989"/>
      <c r="R24" s="1258"/>
      <c r="S24" s="1258"/>
      <c r="T24" s="1253"/>
      <c r="U24" s="1253"/>
      <c r="V24" s="1253"/>
      <c r="W24" s="1252"/>
      <c r="X24" s="1252"/>
      <c r="Y24" s="1252"/>
      <c r="Z24" s="1259"/>
      <c r="AA24" s="1259"/>
      <c r="AB24" s="1259"/>
      <c r="AC24" s="1259"/>
      <c r="AD24" s="1259"/>
      <c r="AE24" s="1259"/>
      <c r="AF24" s="1259"/>
      <c r="AG24" s="2989"/>
      <c r="AH24" s="2989"/>
      <c r="AI24" s="2989"/>
      <c r="AJ24" s="2989"/>
    </row>
    <row r="25" spans="1:37" ht="15.75" thickBot="1">
      <c r="A25" s="2226" t="s">
        <v>813</v>
      </c>
      <c r="B25" s="2248" t="s">
        <v>2675</v>
      </c>
      <c r="C25" s="869"/>
      <c r="D25" s="2182"/>
      <c r="E25" s="2182"/>
      <c r="F25" s="2249"/>
      <c r="G25" s="2182"/>
      <c r="H25" s="2182"/>
      <c r="I25" s="2182"/>
      <c r="J25" s="2183"/>
      <c r="K25" s="1252"/>
      <c r="L25" s="2153"/>
      <c r="M25" s="2153"/>
      <c r="N25" s="2984" t="s">
        <v>2676</v>
      </c>
      <c r="O25" s="2985"/>
      <c r="P25" s="2986">
        <f>SUMPRODUCT((地价!A3:A36=YEAR(G19)&amp;"-"&amp;ROUNDUP(MONTH(G19)/3,0))*(地价!AD2:AH2=N25)*(地价!AD3:AH36))</f>
        <v>1.66E-2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2677</v>
      </c>
      <c r="C26" s="2512" t="e">
        <f>IF(B21="容积率修正",E29+SUM(E33:E39),SUM(V2:V16)+SUM(E33:E39))</f>
        <v>#DIV/0!</v>
      </c>
      <c r="D26" s="2251"/>
      <c r="E26" s="2207"/>
      <c r="F26" s="2252"/>
      <c r="G26" s="2207"/>
      <c r="H26" s="2207"/>
      <c r="I26" s="2207"/>
      <c r="J26" s="2253"/>
      <c r="K26" s="1252"/>
      <c r="L26" s="2987" t="s">
        <v>2575</v>
      </c>
      <c r="M26" s="2180" t="s">
        <v>2640</v>
      </c>
      <c r="N26" s="2180" t="s">
        <v>2641</v>
      </c>
      <c r="O26" s="2180" t="s">
        <v>2642</v>
      </c>
      <c r="P26" s="2988" t="s">
        <v>2643</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2678</v>
      </c>
      <c r="C27" s="870" t="e">
        <f>E30+SUM(I33:I39)</f>
        <v>#DIV/0!</v>
      </c>
      <c r="D27" s="2255"/>
      <c r="E27" s="2256"/>
      <c r="F27" s="2257"/>
      <c r="G27" s="2256"/>
      <c r="H27" s="2256"/>
      <c r="I27" s="2256"/>
      <c r="J27" s="2258"/>
      <c r="K27" s="1252"/>
      <c r="L27" s="2213" t="s">
        <v>2647</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2679</v>
      </c>
      <c r="C28" s="2261" t="s">
        <v>2680</v>
      </c>
      <c r="D28" s="2261" t="s">
        <v>2681</v>
      </c>
      <c r="E28" s="2262" t="s">
        <v>2682</v>
      </c>
      <c r="F28" s="2263"/>
      <c r="G28" s="2195"/>
      <c r="H28" s="2195"/>
      <c r="I28" s="2195"/>
      <c r="J28" s="2196"/>
      <c r="K28" s="1252"/>
      <c r="L28" s="2214" t="s">
        <v>2650</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2683</v>
      </c>
      <c r="C29" s="180" t="e">
        <f>ROUND(C5*C18*C19*C20*C21*C24,0)</f>
        <v>#DIV/0!</v>
      </c>
      <c r="D29" s="2266"/>
      <c r="E29" s="879" t="e">
        <f>ROUND(C29*D29/10000,0)</f>
        <v>#DIV/0!</v>
      </c>
      <c r="F29" s="2267" t="s">
        <v>2684</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2685</v>
      </c>
      <c r="C30" s="193" t="e">
        <f>ROUND(IF(E2="工业",C29*M39,C29*M38),0)</f>
        <v>#DIV/0!</v>
      </c>
      <c r="D30" s="2272"/>
      <c r="E30" s="879" t="e">
        <f>ROUND(C30*D30/10000,0)</f>
        <v>#DIV/0!</v>
      </c>
      <c r="F30" s="2273" t="s">
        <v>2686</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2687</v>
      </c>
      <c r="C31" s="2278" t="s">
        <v>2688</v>
      </c>
      <c r="D31" s="2195"/>
      <c r="E31" s="2278"/>
      <c r="F31" s="2278"/>
      <c r="G31" s="2193" t="s">
        <v>2689</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2680</v>
      </c>
      <c r="D32" s="455" t="s">
        <v>2681</v>
      </c>
      <c r="E32" s="455" t="s">
        <v>2682</v>
      </c>
      <c r="F32" s="348" t="s">
        <v>2690</v>
      </c>
      <c r="G32" s="2281" t="s">
        <v>2680</v>
      </c>
      <c r="H32" s="2281" t="s">
        <v>2681</v>
      </c>
      <c r="I32" s="2281" t="s">
        <v>2682</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675"/>
      <c r="B33" s="2282" t="s">
        <v>2691</v>
      </c>
      <c r="C33" s="180" t="e">
        <f>ROUND(D5*C19*C20*C24*F33,0)</f>
        <v>#DIV/0!</v>
      </c>
      <c r="D33" s="2266"/>
      <c r="E33" s="176" t="e">
        <f>ROUND(C33*D33/10000,0)</f>
        <v>#DIV/0!</v>
      </c>
      <c r="F33" s="176">
        <f>SUMIF(修正!A45:A56,G2,修正!B45:B56)</f>
        <v>0</v>
      </c>
      <c r="G33" s="176" t="e">
        <f t="shared" ref="G33" si="6">ROUND(IF(E2="工业",C33*$M$39,C33*$M$38),0)</f>
        <v>#DIV/0!</v>
      </c>
      <c r="H33" s="176">
        <f>D33</f>
        <v>0</v>
      </c>
      <c r="I33" s="176" t="e">
        <f>ROUND(G33*H33/10000,0)</f>
        <v>#DIV/0!</v>
      </c>
      <c r="J33" s="3680" t="s">
        <v>2997</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676"/>
      <c r="B34" s="2199" t="s">
        <v>2692</v>
      </c>
      <c r="C34" s="180" t="e">
        <f>ROUND(D5*C19*C20*C24*F34,0)</f>
        <v>#DIV/0!</v>
      </c>
      <c r="D34" s="226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676"/>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676"/>
      <c r="B35" s="2199" t="s">
        <v>2693</v>
      </c>
      <c r="C35" s="180" t="e">
        <f>ROUND(D5*C19*C20*C24*F35,0)</f>
        <v>#DIV/0!</v>
      </c>
      <c r="D35" s="2266"/>
      <c r="E35" s="176" t="e">
        <f t="shared" si="7"/>
        <v>#DIV/0!</v>
      </c>
      <c r="F35" s="176">
        <f>SUMIF(修正!A45:A56,G2,修正!D45:D56)</f>
        <v>0</v>
      </c>
      <c r="G35" s="176" t="e">
        <f>ROUND(IF(E2="工业",C35*$M$39,C35*$M$38),0)</f>
        <v>#DIV/0!</v>
      </c>
      <c r="H35" s="176">
        <f t="shared" si="8"/>
        <v>0</v>
      </c>
      <c r="I35" s="176" t="e">
        <f t="shared" si="9"/>
        <v>#DIV/0!</v>
      </c>
      <c r="J35" s="3676"/>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677"/>
      <c r="B36" s="2199" t="s">
        <v>2694</v>
      </c>
      <c r="C36" s="180" t="e">
        <f>ROUND(D5*C19*C20*C24*F36,0)</f>
        <v>#DIV/0!</v>
      </c>
      <c r="D36" s="2266"/>
      <c r="E36" s="176" t="e">
        <f t="shared" si="7"/>
        <v>#DIV/0!</v>
      </c>
      <c r="F36" s="176">
        <f>SUMIF(修正!A45:A56,G2,修正!E45:E56)</f>
        <v>0</v>
      </c>
      <c r="G36" s="176" t="e">
        <f>ROUND(IF(E2="工业",C36*$M$39,C36*$M$38),0)</f>
        <v>#DIV/0!</v>
      </c>
      <c r="H36" s="176">
        <f t="shared" si="8"/>
        <v>0</v>
      </c>
      <c r="I36" s="176" t="e">
        <f t="shared" si="9"/>
        <v>#DIV/0!</v>
      </c>
      <c r="J36" s="3677"/>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2695</v>
      </c>
      <c r="C37" s="176" t="e">
        <f>ROUND(D5*C19*C20*C24*F37,0)</f>
        <v>#DIV/0!</v>
      </c>
      <c r="D37" s="2266"/>
      <c r="E37" s="176" t="e">
        <f t="shared" si="7"/>
        <v>#DIV/0!</v>
      </c>
      <c r="F37" s="180">
        <f>SUMIF(修正!A45:A56,G2,修正!F45:F56)</f>
        <v>0</v>
      </c>
      <c r="G37" s="176" t="e">
        <f>ROUND(IF(E2="工业",C37*$M$39,C37*$M$38),0)</f>
        <v>#DIV/0!</v>
      </c>
      <c r="H37" s="176">
        <f t="shared" si="8"/>
        <v>0</v>
      </c>
      <c r="I37" s="176" t="e">
        <f t="shared" si="9"/>
        <v>#DIV/0!</v>
      </c>
      <c r="J37" s="2283"/>
      <c r="K37" s="1252"/>
      <c r="L37" s="2285" t="s">
        <v>2696</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2697</v>
      </c>
      <c r="C38" s="176" t="e">
        <f>ROUND(D5*C19*C41*C24*F38,0)</f>
        <v>#DIV/0!</v>
      </c>
      <c r="D38" s="2266"/>
      <c r="E38" s="176" t="e">
        <f t="shared" si="7"/>
        <v>#DIV/0!</v>
      </c>
      <c r="F38" s="180">
        <f>SUMIF(修正!A45:A56,G2,修正!G45:G56)</f>
        <v>0</v>
      </c>
      <c r="G38" s="176" t="e">
        <f>ROUND(IF(E2="工业",C38*$M$39,C38*$M$38),0)</f>
        <v>#DIV/0!</v>
      </c>
      <c r="H38" s="176">
        <f t="shared" si="8"/>
        <v>0</v>
      </c>
      <c r="I38" s="176" t="e">
        <f t="shared" si="9"/>
        <v>#DIV/0!</v>
      </c>
      <c r="J38" s="2283"/>
      <c r="K38" s="1252"/>
      <c r="L38" s="1575" t="s">
        <v>2698</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2699</v>
      </c>
      <c r="C39" s="193" t="e">
        <f>ROUND(D5*C19*C41*C24*F39,0)</f>
        <v>#DIV/0!</v>
      </c>
      <c r="D39" s="2272"/>
      <c r="E39" s="193" t="e">
        <f t="shared" si="7"/>
        <v>#DIV/0!</v>
      </c>
      <c r="F39" s="871">
        <f>SUMIF(修正!A45:A56,G2,修正!H45:H56)</f>
        <v>0</v>
      </c>
      <c r="G39" s="193" t="e">
        <f>ROUND(IF(E2="工业",C39*$M$39,C39*$M$38),0)</f>
        <v>#DIV/0!</v>
      </c>
      <c r="H39" s="193">
        <f t="shared" si="8"/>
        <v>0</v>
      </c>
      <c r="I39" s="193" t="e">
        <f t="shared" si="9"/>
        <v>#DIV/0!</v>
      </c>
      <c r="J39" s="2289"/>
      <c r="K39" s="1252"/>
      <c r="L39" s="2290" t="s">
        <v>2643</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2804</v>
      </c>
      <c r="C41" s="348" t="e">
        <f>ROUND(POWER(1+E41,H41-G41)*(POWER(1+E41,G41)-1)/(POWER(1+E41,H41)-1),4)</f>
        <v>#DIV/0!</v>
      </c>
      <c r="D41" s="176" t="s">
        <v>2650</v>
      </c>
      <c r="E41" s="2339">
        <f>G20</f>
        <v>0</v>
      </c>
      <c r="F41" s="176" t="s">
        <v>2659</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2700</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2701</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2702</v>
      </c>
      <c r="B47" s="1505" t="s">
        <v>2703</v>
      </c>
      <c r="C47" s="1505" t="s">
        <v>2704</v>
      </c>
      <c r="D47" s="1505" t="s">
        <v>2705</v>
      </c>
      <c r="E47" s="758" t="s">
        <v>2706</v>
      </c>
      <c r="F47" s="2300" t="s">
        <v>2707</v>
      </c>
      <c r="G47" s="1505" t="s">
        <v>754</v>
      </c>
      <c r="H47" s="2301" t="s">
        <v>2708</v>
      </c>
      <c r="I47" s="1505" t="s">
        <v>2709</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9" t="s">
        <v>2710</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2711</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2712</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2713</v>
      </c>
      <c r="B51" s="2304" t="s">
        <v>2714</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2715</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2716</v>
      </c>
      <c r="B53" s="2305" t="s">
        <v>2717</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2718</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2719</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2720</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2721</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2702</v>
      </c>
      <c r="B58" s="1505"/>
      <c r="C58" s="1505" t="s">
        <v>2704</v>
      </c>
      <c r="D58" s="1505" t="s">
        <v>2705</v>
      </c>
      <c r="E58" s="758" t="s">
        <v>2706</v>
      </c>
      <c r="F58" s="2300" t="s">
        <v>2722</v>
      </c>
      <c r="G58" s="1505" t="s">
        <v>754</v>
      </c>
      <c r="H58" s="2301" t="s">
        <v>2708</v>
      </c>
      <c r="I58" s="1505" t="s">
        <v>2709</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9" t="s">
        <v>2723</v>
      </c>
      <c r="B59" s="2302" t="str">
        <f>估价对象房地状况!C17</f>
        <v>估价对象位于XX商圈，周边办公楼项目较多，入驻率高，办公集聚程度较好</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9" t="s">
        <v>2711</v>
      </c>
      <c r="B60" s="2303" t="str">
        <f>估价对象房地状况!C18</f>
        <v>估价对象周边道路状况、公共交通通达情况、停车便捷程度，综合评价交通便捷度较好</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2712</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2713</v>
      </c>
      <c r="B62" s="2304" t="s">
        <v>2714</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2715</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2716</v>
      </c>
      <c r="B64" s="2305" t="s">
        <v>2717</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9" t="s">
        <v>2718</v>
      </c>
      <c r="B65" s="1466" t="str">
        <f>估价对象房地状况!C21</f>
        <v>估价对象所在区域公共配套设施齐备情况</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9" t="s">
        <v>2719</v>
      </c>
      <c r="B66" s="1466" t="str">
        <f>估价对象房地状况!C22</f>
        <v>估价对象所在区域基础设施水平</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7" t="s">
        <v>2720</v>
      </c>
      <c r="B67" s="2309" t="str">
        <f>估价对象房地状况!C20</f>
        <v>区域自然环境：；人文环境；综合评价环境状况一般</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2724</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2702</v>
      </c>
      <c r="B69" s="1505"/>
      <c r="C69" s="1505" t="s">
        <v>2704</v>
      </c>
      <c r="D69" s="1505" t="s">
        <v>2705</v>
      </c>
      <c r="E69" s="758" t="s">
        <v>2706</v>
      </c>
      <c r="F69" s="2300" t="s">
        <v>2722</v>
      </c>
      <c r="G69" s="1505" t="s">
        <v>754</v>
      </c>
      <c r="H69" s="2301" t="s">
        <v>2708</v>
      </c>
      <c r="I69" s="1505" t="s">
        <v>2709</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9" t="s">
        <v>2725</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2711</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2712</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2726</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2718</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2719</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2716</v>
      </c>
      <c r="B76" s="2305" t="s">
        <v>2717</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2720</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2727</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2728</v>
      </c>
      <c r="B79" s="2296">
        <f>1+E81</f>
        <v>1</v>
      </c>
      <c r="C79" s="753"/>
      <c r="D79" s="753"/>
      <c r="E79" s="754"/>
      <c r="F79" s="2298"/>
      <c r="G79" s="6"/>
      <c r="H79" s="6"/>
      <c r="I79" s="6"/>
      <c r="J79" s="7"/>
      <c r="K79" s="7"/>
      <c r="L79" s="7"/>
      <c r="M79" s="7"/>
      <c r="N79" s="7"/>
      <c r="Z79" s="2154"/>
      <c r="AA79" s="2220"/>
      <c r="AG79" s="1254"/>
      <c r="AK79" s="2220"/>
    </row>
    <row r="80" spans="1:37" ht="24.75">
      <c r="A80" s="2299" t="s">
        <v>2702</v>
      </c>
      <c r="B80" s="1505"/>
      <c r="C80" s="1505" t="s">
        <v>2704</v>
      </c>
      <c r="D80" s="1505" t="s">
        <v>2705</v>
      </c>
      <c r="E80" s="758" t="s">
        <v>2706</v>
      </c>
      <c r="F80" s="2300" t="s">
        <v>2722</v>
      </c>
      <c r="G80" s="1505" t="s">
        <v>754</v>
      </c>
      <c r="H80" s="2301" t="s">
        <v>2708</v>
      </c>
      <c r="I80" s="1505" t="s">
        <v>2709</v>
      </c>
      <c r="J80" s="560" t="s">
        <v>2358</v>
      </c>
      <c r="K80" s="560" t="s">
        <v>2359</v>
      </c>
      <c r="L80" s="560" t="s">
        <v>2360</v>
      </c>
      <c r="M80" s="560" t="s">
        <v>2361</v>
      </c>
      <c r="N80" s="560" t="s">
        <v>2362</v>
      </c>
      <c r="Z80" s="2154"/>
      <c r="AA80" s="2220"/>
      <c r="AG80" s="1254"/>
      <c r="AK80" s="2220"/>
    </row>
    <row r="81" spans="1:37" ht="38.25">
      <c r="A81" s="2299" t="s">
        <v>2729</v>
      </c>
      <c r="B81" s="2303" t="str">
        <f>估价对象房地状况!G15</f>
        <v>估价对象位于XX开发区，园区建设成熟度XX，产业集聚程度XX</v>
      </c>
      <c r="C81" s="2204"/>
      <c r="D81" s="1196">
        <f t="shared" ref="D81:D88" si="25">SUMIF($J$80:$N$80,C81,J81:N81)</f>
        <v>0</v>
      </c>
      <c r="E81" s="760">
        <f>ROUND(SUM(D81:D88),4)</f>
        <v>0</v>
      </c>
      <c r="F81" s="197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4"/>
      <c r="AA81" s="2220"/>
      <c r="AG81" s="1254"/>
      <c r="AK81" s="2220"/>
    </row>
    <row r="82" spans="1:37" ht="51">
      <c r="A82" s="2299" t="s">
        <v>2711</v>
      </c>
      <c r="B82" s="2303" t="str">
        <f>估价对象房地状况!G16</f>
        <v>估价对象周边道路状况、公共交通通达情况、停车便捷程度，综合评价交通便捷度较好</v>
      </c>
      <c r="C82" s="2204"/>
      <c r="D82" s="1196">
        <f t="shared" si="25"/>
        <v>0</v>
      </c>
      <c r="E82" s="765"/>
      <c r="F82" s="1970"/>
      <c r="G82" s="1194"/>
      <c r="H82" s="1198" t="str">
        <f t="shared" si="26"/>
        <v>——</v>
      </c>
      <c r="I82" s="759">
        <v>0.33</v>
      </c>
      <c r="J82" s="1195">
        <f t="shared" si="27"/>
        <v>0</v>
      </c>
      <c r="K82" s="1195">
        <f t="shared" si="28"/>
        <v>0</v>
      </c>
      <c r="L82" s="1195">
        <v>0</v>
      </c>
      <c r="M82" s="1195">
        <f t="shared" si="29"/>
        <v>0</v>
      </c>
      <c r="N82" s="1195">
        <f t="shared" si="29"/>
        <v>0</v>
      </c>
      <c r="Z82" s="2154"/>
      <c r="AA82" s="2220"/>
      <c r="AG82" s="1254"/>
      <c r="AK82" s="2220"/>
    </row>
    <row r="83" spans="1:37" ht="24">
      <c r="A83" s="2299" t="s">
        <v>2712</v>
      </c>
      <c r="B83" s="2303">
        <f>估价对象房地状况!G17</f>
        <v>0</v>
      </c>
      <c r="C83" s="2204"/>
      <c r="D83" s="1196">
        <f t="shared" si="25"/>
        <v>0</v>
      </c>
      <c r="E83" s="765"/>
      <c r="F83" s="1970"/>
      <c r="G83" s="1194"/>
      <c r="H83" s="1198" t="str">
        <f t="shared" si="26"/>
        <v>——</v>
      </c>
      <c r="I83" s="759">
        <v>0.05</v>
      </c>
      <c r="J83" s="1195">
        <f t="shared" si="27"/>
        <v>0</v>
      </c>
      <c r="K83" s="1195">
        <f t="shared" si="28"/>
        <v>0</v>
      </c>
      <c r="L83" s="1195">
        <v>0</v>
      </c>
      <c r="M83" s="1195">
        <f t="shared" si="29"/>
        <v>0</v>
      </c>
      <c r="N83" s="1195">
        <f t="shared" si="29"/>
        <v>0</v>
      </c>
      <c r="Z83" s="2154"/>
      <c r="AA83" s="2220"/>
      <c r="AG83" s="1254"/>
      <c r="AK83" s="2220"/>
    </row>
    <row r="84" spans="1:37" ht="14.25">
      <c r="A84" s="2299" t="s">
        <v>2726</v>
      </c>
      <c r="B84" s="2303">
        <f>估价对象房地状况!G22</f>
        <v>0</v>
      </c>
      <c r="C84" s="2204"/>
      <c r="D84" s="1196">
        <f t="shared" si="25"/>
        <v>0</v>
      </c>
      <c r="E84" s="765"/>
      <c r="F84" s="1970"/>
      <c r="G84" s="1194"/>
      <c r="H84" s="1198" t="str">
        <f t="shared" si="26"/>
        <v>——</v>
      </c>
      <c r="I84" s="759">
        <v>0.04</v>
      </c>
      <c r="J84" s="1195">
        <f t="shared" si="27"/>
        <v>0</v>
      </c>
      <c r="K84" s="1195">
        <f t="shared" si="28"/>
        <v>0</v>
      </c>
      <c r="L84" s="1195">
        <v>0</v>
      </c>
      <c r="M84" s="1195">
        <f t="shared" si="29"/>
        <v>0</v>
      </c>
      <c r="N84" s="1195">
        <f t="shared" si="29"/>
        <v>0</v>
      </c>
      <c r="Z84" s="2154"/>
      <c r="AA84" s="2220"/>
      <c r="AG84" s="1254"/>
      <c r="AK84" s="2220"/>
    </row>
    <row r="85" spans="1:37" ht="25.5">
      <c r="A85" s="2299" t="s">
        <v>2718</v>
      </c>
      <c r="B85" s="1466" t="str">
        <f>估价对象房地状况!G19</f>
        <v>估价对象所在区域公共配套设施齐备情况</v>
      </c>
      <c r="C85" s="2204"/>
      <c r="D85" s="1196">
        <f t="shared" si="25"/>
        <v>0</v>
      </c>
      <c r="E85" s="765"/>
      <c r="F85" s="1970"/>
      <c r="G85" s="1194"/>
      <c r="H85" s="1198" t="str">
        <f t="shared" si="26"/>
        <v>——</v>
      </c>
      <c r="I85" s="759">
        <v>0.06</v>
      </c>
      <c r="J85" s="1195">
        <f t="shared" si="27"/>
        <v>0</v>
      </c>
      <c r="K85" s="1195">
        <f t="shared" si="28"/>
        <v>0</v>
      </c>
      <c r="L85" s="1195">
        <v>0</v>
      </c>
      <c r="M85" s="1195">
        <f t="shared" si="29"/>
        <v>0</v>
      </c>
      <c r="N85" s="1195">
        <f t="shared" si="29"/>
        <v>0</v>
      </c>
      <c r="Z85" s="2154"/>
      <c r="AA85" s="2220"/>
      <c r="AG85" s="1254"/>
      <c r="AK85" s="2220"/>
    </row>
    <row r="86" spans="1:37" ht="25.5">
      <c r="A86" s="2299" t="s">
        <v>2719</v>
      </c>
      <c r="B86" s="1466" t="str">
        <f>估价对象房地状况!G20</f>
        <v>估价对象所在区域基础设施水平</v>
      </c>
      <c r="C86" s="2204"/>
      <c r="D86" s="1196">
        <f t="shared" si="25"/>
        <v>0</v>
      </c>
      <c r="E86" s="765"/>
      <c r="F86" s="1970"/>
      <c r="G86" s="1194"/>
      <c r="H86" s="1198" t="str">
        <f t="shared" si="26"/>
        <v>——</v>
      </c>
      <c r="I86" s="759">
        <v>0.15</v>
      </c>
      <c r="J86" s="1195">
        <f t="shared" si="27"/>
        <v>0</v>
      </c>
      <c r="K86" s="1195">
        <f t="shared" si="28"/>
        <v>0</v>
      </c>
      <c r="L86" s="1195">
        <v>0</v>
      </c>
      <c r="M86" s="1195">
        <f t="shared" si="29"/>
        <v>0</v>
      </c>
      <c r="N86" s="1195">
        <f t="shared" si="29"/>
        <v>0</v>
      </c>
      <c r="Z86" s="2154"/>
      <c r="AA86" s="2220"/>
      <c r="AG86" s="1254"/>
      <c r="AK86" s="2220"/>
    </row>
    <row r="87" spans="1:37" ht="24">
      <c r="A87" s="2299" t="s">
        <v>2716</v>
      </c>
      <c r="B87" s="2305" t="s">
        <v>2730</v>
      </c>
      <c r="C87" s="2204"/>
      <c r="D87" s="1196">
        <f t="shared" si="25"/>
        <v>0</v>
      </c>
      <c r="E87" s="765"/>
      <c r="F87" s="1970"/>
      <c r="G87" s="1194"/>
      <c r="H87" s="1198" t="str">
        <f t="shared" si="26"/>
        <v>——</v>
      </c>
      <c r="I87" s="759">
        <v>0.05</v>
      </c>
      <c r="J87" s="1195">
        <f t="shared" si="27"/>
        <v>0</v>
      </c>
      <c r="K87" s="1195">
        <f t="shared" si="28"/>
        <v>0</v>
      </c>
      <c r="L87" s="1195">
        <v>0</v>
      </c>
      <c r="M87" s="1195">
        <f t="shared" si="29"/>
        <v>0</v>
      </c>
      <c r="N87" s="1195">
        <f t="shared" si="29"/>
        <v>0</v>
      </c>
      <c r="Z87" s="2154"/>
      <c r="AA87" s="2220"/>
      <c r="AG87" s="1254"/>
      <c r="AK87" s="2220"/>
    </row>
    <row r="88" spans="1:37" ht="39" thickBot="1">
      <c r="A88" s="2307" t="s">
        <v>2731</v>
      </c>
      <c r="B88" s="2312" t="str">
        <f>估价对象房地状况!G18</f>
        <v>该园区内是否有污染型企业，绿化情况，卫生条件，整体环境状况判断</v>
      </c>
      <c r="C88" s="2204"/>
      <c r="D88" s="1196">
        <f t="shared" si="25"/>
        <v>0</v>
      </c>
      <c r="E88" s="766"/>
      <c r="F88" s="1970"/>
      <c r="G88" s="1194"/>
      <c r="H88" s="1198" t="str">
        <f t="shared" si="26"/>
        <v>——</v>
      </c>
      <c r="I88" s="763">
        <v>0.06</v>
      </c>
      <c r="J88" s="1195">
        <f t="shared" si="27"/>
        <v>0</v>
      </c>
      <c r="K88" s="1195">
        <f t="shared" si="28"/>
        <v>0</v>
      </c>
      <c r="L88" s="1195">
        <v>0</v>
      </c>
      <c r="M88" s="1195">
        <f t="shared" si="29"/>
        <v>0</v>
      </c>
      <c r="N88" s="1195">
        <f t="shared" si="29"/>
        <v>0</v>
      </c>
      <c r="Z88" s="2154"/>
      <c r="AA88" s="2220"/>
      <c r="AG88" s="1254"/>
      <c r="AK88" s="2220"/>
    </row>
    <row r="90" spans="1:37">
      <c r="A90" s="3667" t="s">
        <v>2732</v>
      </c>
      <c r="B90" s="3667"/>
      <c r="C90" s="3667"/>
      <c r="D90" s="3667"/>
      <c r="E90" s="3667"/>
      <c r="F90" s="3667"/>
      <c r="G90" s="3667"/>
      <c r="H90" s="3667"/>
      <c r="I90" s="3667"/>
      <c r="J90" s="3667"/>
      <c r="K90" s="2313"/>
      <c r="L90" s="2313"/>
      <c r="M90" s="2313"/>
      <c r="N90" s="2313"/>
    </row>
    <row r="91" spans="1:37">
      <c r="A91" s="3669" t="s">
        <v>2733</v>
      </c>
      <c r="B91" s="3669" t="s">
        <v>2734</v>
      </c>
      <c r="C91" s="2267" t="s">
        <v>2735</v>
      </c>
      <c r="D91" s="2268"/>
      <c r="E91" s="2268"/>
      <c r="F91" s="2268"/>
      <c r="G91" s="2268"/>
      <c r="H91" s="2268"/>
      <c r="I91" s="2268"/>
      <c r="J91" s="2314"/>
      <c r="K91" s="2315"/>
      <c r="L91" s="2315"/>
      <c r="M91" s="2315"/>
      <c r="N91" s="2315"/>
    </row>
    <row r="92" spans="1:37">
      <c r="A92" s="3669"/>
      <c r="B92" s="3669"/>
      <c r="C92" s="879" t="s">
        <v>2602</v>
      </c>
      <c r="D92" s="879" t="s">
        <v>2603</v>
      </c>
      <c r="E92" s="879" t="s">
        <v>2604</v>
      </c>
      <c r="F92" s="879" t="s">
        <v>2605</v>
      </c>
      <c r="G92" s="879" t="s">
        <v>2606</v>
      </c>
      <c r="H92" s="879" t="s">
        <v>2607</v>
      </c>
      <c r="I92" s="879" t="s">
        <v>2608</v>
      </c>
      <c r="J92" s="879" t="s">
        <v>2609</v>
      </c>
      <c r="K92" s="879" t="s">
        <v>2610</v>
      </c>
      <c r="L92" s="879" t="s">
        <v>2611</v>
      </c>
      <c r="M92" s="879" t="s">
        <v>2612</v>
      </c>
      <c r="N92" s="879" t="s">
        <v>2613</v>
      </c>
    </row>
    <row r="93" spans="1:37">
      <c r="A93" s="3670" t="s">
        <v>2736</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671"/>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671"/>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671"/>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671"/>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671"/>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671"/>
      <c r="B99" s="2316" t="s">
        <v>2618</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672"/>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670" t="s">
        <v>2737</v>
      </c>
      <c r="B101" s="2320" t="s">
        <v>2738</v>
      </c>
      <c r="C101" s="2321">
        <f>$G$3</f>
        <v>2.5</v>
      </c>
      <c r="D101" s="2321">
        <f t="shared" ref="D101:N101" si="31">$G$3</f>
        <v>2.5</v>
      </c>
      <c r="E101" s="2321">
        <f t="shared" si="31"/>
        <v>2.5</v>
      </c>
      <c r="F101" s="2321">
        <f t="shared" si="31"/>
        <v>2.5</v>
      </c>
      <c r="G101" s="2321">
        <f t="shared" si="31"/>
        <v>2.5</v>
      </c>
      <c r="H101" s="2321">
        <f t="shared" si="31"/>
        <v>2.5</v>
      </c>
      <c r="I101" s="2321">
        <f t="shared" si="31"/>
        <v>2.5</v>
      </c>
      <c r="J101" s="2321">
        <f t="shared" si="31"/>
        <v>2.5</v>
      </c>
      <c r="K101" s="2321">
        <f t="shared" si="31"/>
        <v>2.5</v>
      </c>
      <c r="L101" s="2321">
        <f t="shared" si="31"/>
        <v>2.5</v>
      </c>
      <c r="M101" s="2321">
        <f t="shared" si="31"/>
        <v>2.5</v>
      </c>
      <c r="N101" s="2321">
        <f t="shared" si="31"/>
        <v>2.5</v>
      </c>
    </row>
    <row r="102" spans="1:14">
      <c r="A102" s="3671"/>
      <c r="B102" s="2316">
        <v>1</v>
      </c>
      <c r="C102" s="2317">
        <f>1.9362/C101</f>
        <v>0.77447999999999995</v>
      </c>
      <c r="D102" s="2317">
        <f>1.9362/D101</f>
        <v>0.77447999999999995</v>
      </c>
      <c r="E102" s="2317">
        <f>1.8629/E101</f>
        <v>0.74516000000000004</v>
      </c>
      <c r="F102" s="2317">
        <f>1.8629/F101</f>
        <v>0.74516000000000004</v>
      </c>
      <c r="G102" s="2317">
        <f>1.8629/G101</f>
        <v>0.74516000000000004</v>
      </c>
      <c r="H102" s="2317">
        <f>1.8629/H101</f>
        <v>0.74516000000000004</v>
      </c>
      <c r="I102" s="2317">
        <f>1.8629/I101</f>
        <v>0.74516000000000004</v>
      </c>
      <c r="J102" s="2317">
        <f>1.942/J101</f>
        <v>0.77679999999999993</v>
      </c>
      <c r="K102" s="2317">
        <f>1.942/K101</f>
        <v>0.77679999999999993</v>
      </c>
      <c r="L102" s="2317">
        <f>1.942/L101</f>
        <v>0.77679999999999993</v>
      </c>
      <c r="M102" s="2317">
        <f>1.942/M101</f>
        <v>0.77679999999999993</v>
      </c>
      <c r="N102" s="2317">
        <f>1.942/N101</f>
        <v>0.77679999999999993</v>
      </c>
    </row>
    <row r="103" spans="1:14">
      <c r="A103" s="3671"/>
      <c r="B103" s="2316">
        <v>2</v>
      </c>
      <c r="C103" s="2317">
        <f>1.4198/C101</f>
        <v>0.56791999999999998</v>
      </c>
      <c r="D103" s="2317">
        <f>1.4198/D101</f>
        <v>0.56791999999999998</v>
      </c>
      <c r="E103" s="2317">
        <f>1.3372/E101</f>
        <v>0.53488000000000002</v>
      </c>
      <c r="F103" s="2317">
        <f>1.3372/F101</f>
        <v>0.53488000000000002</v>
      </c>
      <c r="G103" s="2317">
        <f>1.3372/G101</f>
        <v>0.53488000000000002</v>
      </c>
      <c r="H103" s="2317">
        <f>1.3372/H101</f>
        <v>0.53488000000000002</v>
      </c>
      <c r="I103" s="2317">
        <f>1.3372/I101</f>
        <v>0.53488000000000002</v>
      </c>
      <c r="J103" s="2317">
        <f>1.2799/J101</f>
        <v>0.51195999999999997</v>
      </c>
      <c r="K103" s="2317">
        <f>1.2799/K101</f>
        <v>0.51195999999999997</v>
      </c>
      <c r="L103" s="2317">
        <f>1.2799/L101</f>
        <v>0.51195999999999997</v>
      </c>
      <c r="M103" s="2317">
        <f>1.2799/M101</f>
        <v>0.51195999999999997</v>
      </c>
      <c r="N103" s="2317">
        <f>1.2799/N101</f>
        <v>0.51195999999999997</v>
      </c>
    </row>
    <row r="104" spans="1:14">
      <c r="A104" s="3671"/>
      <c r="B104" s="2316">
        <v>3</v>
      </c>
      <c r="C104" s="2317">
        <f>1.1594/C101</f>
        <v>0.46376000000000001</v>
      </c>
      <c r="D104" s="2317">
        <f>1.1594/D101</f>
        <v>0.46376000000000001</v>
      </c>
      <c r="E104" s="2317">
        <f>1.0788/E101</f>
        <v>0.43152000000000001</v>
      </c>
      <c r="F104" s="2317">
        <f>1.0788/F101</f>
        <v>0.43152000000000001</v>
      </c>
      <c r="G104" s="2317">
        <f>1.0788/G101</f>
        <v>0.43152000000000001</v>
      </c>
      <c r="H104" s="2317">
        <f>1.0788/H101</f>
        <v>0.43152000000000001</v>
      </c>
      <c r="I104" s="2317">
        <f>1.0788/I101</f>
        <v>0.43152000000000001</v>
      </c>
      <c r="J104" s="2317">
        <f>1.0072/J101</f>
        <v>0.40288000000000002</v>
      </c>
      <c r="K104" s="2317">
        <f>1.0072/K101</f>
        <v>0.40288000000000002</v>
      </c>
      <c r="L104" s="2317">
        <f>1.0072/L101</f>
        <v>0.40288000000000002</v>
      </c>
      <c r="M104" s="2317">
        <f>1.0072/M101</f>
        <v>0.40288000000000002</v>
      </c>
      <c r="N104" s="2317">
        <f>1.0072/N101</f>
        <v>0.40288000000000002</v>
      </c>
    </row>
    <row r="105" spans="1:14">
      <c r="A105" s="3671"/>
      <c r="B105" s="2316">
        <v>4</v>
      </c>
      <c r="C105" s="2317">
        <f>0.9622/C101</f>
        <v>0.38488</v>
      </c>
      <c r="D105" s="2317">
        <f>0.9622/D101</f>
        <v>0.38488</v>
      </c>
      <c r="E105" s="2317">
        <f>0.8656/E101</f>
        <v>0.34623999999999999</v>
      </c>
      <c r="F105" s="2317">
        <f>0.8656/F101</f>
        <v>0.34623999999999999</v>
      </c>
      <c r="G105" s="2317">
        <f>0.8656/G101</f>
        <v>0.34623999999999999</v>
      </c>
      <c r="H105" s="2317">
        <f>0.8656/H101</f>
        <v>0.34623999999999999</v>
      </c>
      <c r="I105" s="2317">
        <f>0.8656/I101</f>
        <v>0.34623999999999999</v>
      </c>
      <c r="J105" s="2317">
        <f>0.7525/J101</f>
        <v>0.30099999999999999</v>
      </c>
      <c r="K105" s="2317">
        <f>0.7525/K101</f>
        <v>0.30099999999999999</v>
      </c>
      <c r="L105" s="2317">
        <f>0.7525/L101</f>
        <v>0.30099999999999999</v>
      </c>
      <c r="M105" s="2317">
        <f>0.7525/M101</f>
        <v>0.30099999999999999</v>
      </c>
      <c r="N105" s="2317">
        <f>0.7525/N101</f>
        <v>0.30099999999999999</v>
      </c>
    </row>
    <row r="106" spans="1:14">
      <c r="A106" s="3671"/>
      <c r="B106" s="2316">
        <v>5</v>
      </c>
      <c r="C106" s="2317">
        <f>0.8417/C101</f>
        <v>0.33667999999999998</v>
      </c>
      <c r="D106" s="2317">
        <f>0.8417/D101</f>
        <v>0.33667999999999998</v>
      </c>
      <c r="E106" s="2317">
        <f>0.7371/E101</f>
        <v>0.29483999999999999</v>
      </c>
      <c r="F106" s="2317">
        <f>0.7371/F101</f>
        <v>0.29483999999999999</v>
      </c>
      <c r="G106" s="2317">
        <f>0.7371/G101</f>
        <v>0.29483999999999999</v>
      </c>
      <c r="H106" s="2317">
        <f>0.7371/H101</f>
        <v>0.29483999999999999</v>
      </c>
      <c r="I106" s="2317">
        <f>0.7371/I101</f>
        <v>0.29483999999999999</v>
      </c>
      <c r="J106" s="2317">
        <f>0.5659/J101</f>
        <v>0.22635999999999998</v>
      </c>
      <c r="K106" s="2317">
        <f>0.5659/K101</f>
        <v>0.22635999999999998</v>
      </c>
      <c r="L106" s="2317">
        <f>0.5659/L101</f>
        <v>0.22635999999999998</v>
      </c>
      <c r="M106" s="2317">
        <f>0.5659/M101</f>
        <v>0.22635999999999998</v>
      </c>
      <c r="N106" s="2317">
        <f>0.5659/N101</f>
        <v>0.22635999999999998</v>
      </c>
    </row>
    <row r="107" spans="1:14">
      <c r="A107" s="3671"/>
      <c r="B107" s="2316">
        <v>6</v>
      </c>
      <c r="C107" s="2317">
        <f>0.7608/C101</f>
        <v>0.30432000000000003</v>
      </c>
      <c r="D107" s="2317">
        <f>0.7608/D101</f>
        <v>0.30432000000000003</v>
      </c>
      <c r="E107" s="2317">
        <f>0.6482/E101</f>
        <v>0.25928000000000001</v>
      </c>
      <c r="F107" s="2317">
        <f>0.6482/F101</f>
        <v>0.25928000000000001</v>
      </c>
      <c r="G107" s="2317">
        <f>0.6482/G101</f>
        <v>0.25928000000000001</v>
      </c>
      <c r="H107" s="2317">
        <f>0.6482/H101</f>
        <v>0.25928000000000001</v>
      </c>
      <c r="I107" s="2317">
        <f>0.6482/I101</f>
        <v>0.25928000000000001</v>
      </c>
      <c r="J107" s="2317">
        <f>0.4525/J101</f>
        <v>0.18099999999999999</v>
      </c>
      <c r="K107" s="2317">
        <f>0.4525/K101</f>
        <v>0.18099999999999999</v>
      </c>
      <c r="L107" s="2317">
        <f>0.4525/L101</f>
        <v>0.18099999999999999</v>
      </c>
      <c r="M107" s="2317">
        <f>0.4525/M101</f>
        <v>0.18099999999999999</v>
      </c>
      <c r="N107" s="2317">
        <f>0.4525/N101</f>
        <v>0.18099999999999999</v>
      </c>
    </row>
    <row r="108" spans="1:14">
      <c r="A108" s="3671"/>
      <c r="B108" s="3673" t="s">
        <v>2739</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672"/>
      <c r="B109" s="3674"/>
      <c r="C109" s="2319">
        <f>(-0.163*(C108^2)-0.59*C108+7617)*(10^(-4))/C101</f>
        <v>0.30468000000000001</v>
      </c>
      <c r="D109" s="2319">
        <f>(-0.163*(D108^2)-0.59*D108+7617)*(10^(-4))/D101</f>
        <v>0.30468000000000001</v>
      </c>
      <c r="E109" s="2319">
        <f>(-0.161*(E108^2)-7.509*E108+6533)*(10^(-4))/E101</f>
        <v>0.26132</v>
      </c>
      <c r="F109" s="2319">
        <f>(-0.161*(F108^2)-7.509*F108+6533)*(10^(-4))/F101</f>
        <v>0.26132</v>
      </c>
      <c r="G109" s="2319">
        <f>(-0.161*(G108^2)-7.509*G108+6533)*(10^(-4))/G101</f>
        <v>0.26132</v>
      </c>
      <c r="H109" s="2319">
        <f>(-0.161*(H108^2)-7.509*H108+6533)*(10^(-4))/H101</f>
        <v>0.26132</v>
      </c>
      <c r="I109" s="2319">
        <f>(-0.161*(I108^2)-7.509*I108+6533)*(10^(-4))/I101</f>
        <v>0.26132</v>
      </c>
      <c r="J109" s="2319">
        <f>(-0.214*(J108^2)-21.991*J108+4665)*(10^(-4))/J101</f>
        <v>0.18660000000000002</v>
      </c>
      <c r="K109" s="2319">
        <f>(-0.214*(K108^2)-21.991*K108+4665)*(10^(-4))/K101</f>
        <v>0.18660000000000002</v>
      </c>
      <c r="L109" s="2319">
        <f>(-0.214*(L108^2)-21.991*L108+4665)*(10^(-4))/L101</f>
        <v>0.18660000000000002</v>
      </c>
      <c r="M109" s="2319">
        <f>(-0.214*(M108^2)-21.991*M108+4665)*(10^(-4))/M101</f>
        <v>0.18660000000000002</v>
      </c>
      <c r="N109" s="2319">
        <f>(-0.214*(N108^2)-21.991*N108+4665)*(10^(-4))/N101</f>
        <v>0.18660000000000002</v>
      </c>
    </row>
    <row r="110" spans="1:14">
      <c r="A110" s="3668" t="s">
        <v>2740</v>
      </c>
      <c r="B110" s="3668"/>
      <c r="C110" s="3668"/>
      <c r="D110" s="3668"/>
      <c r="E110" s="3668"/>
      <c r="F110" s="3668"/>
      <c r="G110" s="3668"/>
      <c r="H110" s="3668"/>
      <c r="I110" s="3668"/>
      <c r="J110" s="3668"/>
      <c r="K110" s="2322"/>
      <c r="L110" s="2322"/>
      <c r="M110" s="2322"/>
      <c r="N110" s="2322"/>
    </row>
    <row r="112" spans="1:14" ht="13.5" thickBot="1"/>
    <row r="113" spans="1:13" ht="25.5" thickBot="1">
      <c r="A113" s="842" t="s">
        <v>2741</v>
      </c>
      <c r="B113" s="1197">
        <f>G3</f>
        <v>2.5</v>
      </c>
      <c r="C113" s="843" t="s">
        <v>2742</v>
      </c>
      <c r="D113" s="844">
        <f>SUMPRODUCT((A115:A118=F113)*(B114:M114=H113)*B115:M118)</f>
        <v>0</v>
      </c>
      <c r="E113" s="2158" t="s">
        <v>2575</v>
      </c>
      <c r="F113" s="2324">
        <f>E2</f>
        <v>0</v>
      </c>
      <c r="G113" s="2158" t="s">
        <v>2576</v>
      </c>
      <c r="H113" s="2324">
        <f>G2</f>
        <v>0</v>
      </c>
      <c r="I113" s="2158"/>
      <c r="J113" s="2325"/>
      <c r="K113" s="2325"/>
      <c r="L113" s="2325"/>
      <c r="M113" s="2325"/>
    </row>
    <row r="114" spans="1:13">
      <c r="A114" s="847"/>
      <c r="B114" s="2326" t="s">
        <v>2743</v>
      </c>
      <c r="C114" s="2326" t="s">
        <v>2744</v>
      </c>
      <c r="D114" s="2326" t="s">
        <v>2745</v>
      </c>
      <c r="E114" s="2327" t="s">
        <v>2746</v>
      </c>
      <c r="F114" s="2327" t="s">
        <v>2747</v>
      </c>
      <c r="G114" s="2327" t="s">
        <v>2748</v>
      </c>
      <c r="H114" s="2328" t="s">
        <v>2749</v>
      </c>
      <c r="I114" s="2328" t="s">
        <v>2750</v>
      </c>
      <c r="J114" s="2329" t="s">
        <v>2751</v>
      </c>
      <c r="K114" s="2329" t="s">
        <v>2752</v>
      </c>
      <c r="L114" s="2329" t="s">
        <v>2753</v>
      </c>
      <c r="M114" s="2330" t="s">
        <v>2754</v>
      </c>
    </row>
    <row r="115" spans="1:13">
      <c r="A115" s="848" t="s">
        <v>2640</v>
      </c>
      <c r="B115" s="849">
        <f>ROUND(0.9335-0.0094*B113,4)</f>
        <v>0.91</v>
      </c>
      <c r="C115" s="849">
        <f>B115</f>
        <v>0.91</v>
      </c>
      <c r="D115" s="849">
        <f>ROUND(0.8331-0.0109*B113,4)</f>
        <v>0.80589999999999995</v>
      </c>
      <c r="E115" s="849">
        <f>D115</f>
        <v>0.80589999999999995</v>
      </c>
      <c r="F115" s="849">
        <f>E115</f>
        <v>0.80589999999999995</v>
      </c>
      <c r="G115" s="849">
        <f>F115</f>
        <v>0.80589999999999995</v>
      </c>
      <c r="H115" s="849">
        <f>G115</f>
        <v>0.80589999999999995</v>
      </c>
      <c r="I115" s="849">
        <f>ROUND(0.689-0.0155*B113,4)</f>
        <v>0.65029999999999999</v>
      </c>
      <c r="J115" s="849">
        <f t="shared" ref="J115:M118" si="33">I115</f>
        <v>0.65029999999999999</v>
      </c>
      <c r="K115" s="849">
        <f t="shared" si="33"/>
        <v>0.65029999999999999</v>
      </c>
      <c r="L115" s="849">
        <f t="shared" si="33"/>
        <v>0.65029999999999999</v>
      </c>
      <c r="M115" s="850">
        <f t="shared" si="33"/>
        <v>0.65029999999999999</v>
      </c>
    </row>
    <row r="116" spans="1:13">
      <c r="A116" s="848" t="s">
        <v>2641</v>
      </c>
      <c r="B116" s="849">
        <f>ROUND(0.949-0.012*B113,4)</f>
        <v>0.91900000000000004</v>
      </c>
      <c r="C116" s="849">
        <f>B116</f>
        <v>0.91900000000000004</v>
      </c>
      <c r="D116" s="849">
        <f>ROUND(0.8567-0.013*B113,4)</f>
        <v>0.82420000000000004</v>
      </c>
      <c r="E116" s="849">
        <f t="shared" ref="E116:H117" si="34">D116</f>
        <v>0.82420000000000004</v>
      </c>
      <c r="F116" s="849">
        <f t="shared" si="34"/>
        <v>0.82420000000000004</v>
      </c>
      <c r="G116" s="849">
        <f t="shared" si="34"/>
        <v>0.82420000000000004</v>
      </c>
      <c r="H116" s="849">
        <f t="shared" si="34"/>
        <v>0.82420000000000004</v>
      </c>
      <c r="I116" s="849">
        <f>ROUND(0.7694-0.014*B113,4)</f>
        <v>0.73440000000000005</v>
      </c>
      <c r="J116" s="849">
        <f t="shared" si="33"/>
        <v>0.73440000000000005</v>
      </c>
      <c r="K116" s="849">
        <f t="shared" si="33"/>
        <v>0.73440000000000005</v>
      </c>
      <c r="L116" s="849">
        <f t="shared" si="33"/>
        <v>0.73440000000000005</v>
      </c>
      <c r="M116" s="850">
        <f t="shared" si="33"/>
        <v>0.73440000000000005</v>
      </c>
    </row>
    <row r="117" spans="1:13">
      <c r="A117" s="848" t="s">
        <v>2642</v>
      </c>
      <c r="B117" s="849">
        <f>ROUND(0.8808-0.006*B113,4)</f>
        <v>0.86580000000000001</v>
      </c>
      <c r="C117" s="849">
        <f>B117</f>
        <v>0.86580000000000001</v>
      </c>
      <c r="D117" s="849">
        <f>ROUND(0.8748-0.008*B113,4)</f>
        <v>0.8548</v>
      </c>
      <c r="E117" s="849">
        <f t="shared" si="34"/>
        <v>0.8548</v>
      </c>
      <c r="F117" s="849">
        <f t="shared" si="34"/>
        <v>0.8548</v>
      </c>
      <c r="G117" s="849">
        <f t="shared" si="34"/>
        <v>0.8548</v>
      </c>
      <c r="H117" s="849">
        <f t="shared" si="34"/>
        <v>0.8548</v>
      </c>
      <c r="I117" s="849">
        <f>ROUND(0.7412-0.0095*B113,4)</f>
        <v>0.71750000000000003</v>
      </c>
      <c r="J117" s="849">
        <f t="shared" si="33"/>
        <v>0.71750000000000003</v>
      </c>
      <c r="K117" s="849">
        <f t="shared" si="33"/>
        <v>0.71750000000000003</v>
      </c>
      <c r="L117" s="849">
        <f t="shared" si="33"/>
        <v>0.71750000000000003</v>
      </c>
      <c r="M117" s="850">
        <f t="shared" si="33"/>
        <v>0.71750000000000003</v>
      </c>
    </row>
    <row r="118" spans="1:13" ht="13.5" thickBot="1">
      <c r="A118" s="670" t="s">
        <v>2643</v>
      </c>
      <c r="B118" s="851">
        <f>ROUND(0.7275-0.01*B113,4)</f>
        <v>0.70250000000000001</v>
      </c>
      <c r="C118" s="851">
        <f>B118</f>
        <v>0.70250000000000001</v>
      </c>
      <c r="D118" s="851">
        <f>ROUND(0.7043-0.012*B113,4)</f>
        <v>0.67430000000000001</v>
      </c>
      <c r="E118" s="851">
        <f>D118</f>
        <v>0.67430000000000001</v>
      </c>
      <c r="F118" s="851">
        <f>E118</f>
        <v>0.67430000000000001</v>
      </c>
      <c r="G118" s="851">
        <f>ROUND(0.6299-0.0122*B113,4)</f>
        <v>0.59940000000000004</v>
      </c>
      <c r="H118" s="851">
        <f>G118</f>
        <v>0.59940000000000004</v>
      </c>
      <c r="I118" s="851">
        <f>ROUND(0.5667-0.0136*B113,4)</f>
        <v>0.53269999999999995</v>
      </c>
      <c r="J118" s="851">
        <f t="shared" si="33"/>
        <v>0.53269999999999995</v>
      </c>
      <c r="K118" s="851">
        <f t="shared" si="33"/>
        <v>0.53269999999999995</v>
      </c>
      <c r="L118" s="851">
        <f t="shared" si="33"/>
        <v>0.53269999999999995</v>
      </c>
      <c r="M118" s="852">
        <f t="shared" si="33"/>
        <v>0.53269999999999995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2806</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691" t="s">
        <v>183</v>
      </c>
      <c r="B18" s="821" t="s">
        <v>560</v>
      </c>
      <c r="C18" s="822" t="s">
        <v>561</v>
      </c>
      <c r="D18" s="823"/>
      <c r="E18" s="821">
        <v>1</v>
      </c>
      <c r="F18" s="824" t="s">
        <v>562</v>
      </c>
      <c r="G18" s="825"/>
      <c r="H18" s="817"/>
      <c r="I18" s="817"/>
    </row>
    <row r="19" spans="1:9" s="826" customFormat="1" ht="19.5" customHeight="1">
      <c r="A19" s="3691"/>
      <c r="B19" s="3691" t="s">
        <v>563</v>
      </c>
      <c r="C19" s="822" t="s">
        <v>564</v>
      </c>
      <c r="D19" s="823"/>
      <c r="E19" s="821">
        <v>0.9</v>
      </c>
      <c r="F19" s="824" t="s">
        <v>565</v>
      </c>
      <c r="G19" s="825"/>
      <c r="H19" s="817"/>
      <c r="I19" s="817"/>
    </row>
    <row r="20" spans="1:9" s="826" customFormat="1" ht="19.5" customHeight="1">
      <c r="A20" s="3691"/>
      <c r="B20" s="3691"/>
      <c r="C20" s="822" t="s">
        <v>566</v>
      </c>
      <c r="D20" s="823"/>
      <c r="E20" s="821">
        <v>1.1000000000000001</v>
      </c>
      <c r="F20" s="824" t="s">
        <v>567</v>
      </c>
      <c r="G20" s="825"/>
      <c r="H20" s="817"/>
      <c r="I20" s="817"/>
    </row>
    <row r="21" spans="1:9" s="826" customFormat="1" ht="19.5" customHeight="1">
      <c r="A21" s="3691"/>
      <c r="B21" s="3691"/>
      <c r="C21" s="822" t="s">
        <v>568</v>
      </c>
      <c r="D21" s="823"/>
      <c r="E21" s="821">
        <v>0.8</v>
      </c>
      <c r="F21" s="824" t="s">
        <v>569</v>
      </c>
      <c r="G21" s="825"/>
      <c r="H21" s="817"/>
      <c r="I21" s="817"/>
    </row>
    <row r="22" spans="1:9" s="826" customFormat="1" ht="19.5" customHeight="1">
      <c r="A22" s="3691"/>
      <c r="B22" s="3691"/>
      <c r="C22" s="822" t="s">
        <v>570</v>
      </c>
      <c r="D22" s="823"/>
      <c r="E22" s="821">
        <v>0.5</v>
      </c>
      <c r="F22" s="824"/>
      <c r="G22" s="825"/>
      <c r="H22" s="817"/>
      <c r="I22" s="817"/>
    </row>
    <row r="23" spans="1:9" s="826" customFormat="1" ht="19.5" customHeight="1">
      <c r="A23" s="3691" t="s">
        <v>184</v>
      </c>
      <c r="B23" s="821" t="s">
        <v>560</v>
      </c>
      <c r="C23" s="822" t="s">
        <v>571</v>
      </c>
      <c r="D23" s="823"/>
      <c r="E23" s="821">
        <v>1</v>
      </c>
      <c r="F23" s="824" t="s">
        <v>572</v>
      </c>
      <c r="G23" s="825"/>
      <c r="H23" s="817"/>
      <c r="I23" s="817"/>
    </row>
    <row r="24" spans="1:9" s="826" customFormat="1" ht="19.5" customHeight="1">
      <c r="A24" s="3691"/>
      <c r="B24" s="3691" t="s">
        <v>563</v>
      </c>
      <c r="C24" s="822" t="s">
        <v>573</v>
      </c>
      <c r="D24" s="823"/>
      <c r="E24" s="821">
        <v>0.5</v>
      </c>
      <c r="F24" s="824"/>
      <c r="G24" s="825"/>
      <c r="H24" s="817"/>
      <c r="I24" s="817"/>
    </row>
    <row r="25" spans="1:9" s="826" customFormat="1" ht="19.5" customHeight="1">
      <c r="A25" s="3691"/>
      <c r="B25" s="3691"/>
      <c r="C25" s="822" t="s">
        <v>574</v>
      </c>
      <c r="D25" s="823"/>
      <c r="E25" s="821">
        <v>1.1000000000000001</v>
      </c>
      <c r="F25" s="824"/>
      <c r="G25" s="825"/>
      <c r="H25" s="817"/>
      <c r="I25" s="817"/>
    </row>
    <row r="26" spans="1:9" s="826" customFormat="1" ht="19.5" customHeight="1">
      <c r="A26" s="3691"/>
      <c r="B26" s="3691"/>
      <c r="C26" s="822" t="s">
        <v>575</v>
      </c>
      <c r="D26" s="823"/>
      <c r="E26" s="821">
        <v>1.1000000000000001</v>
      </c>
      <c r="F26" s="824"/>
      <c r="G26" s="825"/>
      <c r="H26" s="817"/>
      <c r="I26" s="817"/>
    </row>
    <row r="27" spans="1:9" s="826" customFormat="1" ht="19.5" customHeight="1">
      <c r="A27" s="3691"/>
      <c r="B27" s="3691"/>
      <c r="C27" s="822" t="s">
        <v>576</v>
      </c>
      <c r="D27" s="823"/>
      <c r="E27" s="821">
        <v>0.9</v>
      </c>
      <c r="F27" s="824" t="s">
        <v>577</v>
      </c>
      <c r="G27" s="825"/>
      <c r="H27" s="817"/>
      <c r="I27" s="817"/>
    </row>
    <row r="28" spans="1:9" s="826" customFormat="1" ht="19.5" customHeight="1">
      <c r="A28" s="3691"/>
      <c r="B28" s="3691"/>
      <c r="C28" s="822" t="s">
        <v>578</v>
      </c>
      <c r="D28" s="823"/>
      <c r="E28" s="821">
        <v>0.9</v>
      </c>
      <c r="F28" s="824" t="s">
        <v>579</v>
      </c>
      <c r="G28" s="825"/>
      <c r="H28" s="817"/>
      <c r="I28" s="817"/>
    </row>
    <row r="29" spans="1:9" s="826" customFormat="1" ht="19.5" customHeight="1">
      <c r="A29" s="3691"/>
      <c r="B29" s="3691"/>
      <c r="C29" s="822" t="s">
        <v>580</v>
      </c>
      <c r="D29" s="823"/>
      <c r="E29" s="821">
        <v>0.9</v>
      </c>
      <c r="F29" s="824" t="s">
        <v>581</v>
      </c>
      <c r="G29" s="825"/>
      <c r="H29" s="817"/>
      <c r="I29" s="817"/>
    </row>
    <row r="30" spans="1:9" s="826" customFormat="1" ht="19.5" customHeight="1">
      <c r="A30" s="3691"/>
      <c r="B30" s="3691"/>
      <c r="C30" s="822" t="s">
        <v>582</v>
      </c>
      <c r="D30" s="823"/>
      <c r="E30" s="821">
        <v>0.9</v>
      </c>
      <c r="F30" s="824" t="s">
        <v>583</v>
      </c>
      <c r="G30" s="825"/>
      <c r="H30" s="817"/>
      <c r="I30" s="817"/>
    </row>
    <row r="31" spans="1:9" s="826" customFormat="1" ht="19.5" customHeight="1">
      <c r="A31" s="3691"/>
      <c r="B31" s="3691"/>
      <c r="C31" s="822" t="s">
        <v>584</v>
      </c>
      <c r="D31" s="823"/>
      <c r="E31" s="821">
        <v>0.8</v>
      </c>
      <c r="F31" s="824" t="s">
        <v>585</v>
      </c>
      <c r="G31" s="825"/>
      <c r="H31" s="817"/>
      <c r="I31" s="817"/>
    </row>
    <row r="32" spans="1:9" s="826" customFormat="1" ht="19.5" customHeight="1">
      <c r="A32" s="3691"/>
      <c r="B32" s="3691"/>
      <c r="C32" s="822" t="s">
        <v>586</v>
      </c>
      <c r="D32" s="823"/>
      <c r="E32" s="821">
        <v>0.8</v>
      </c>
      <c r="F32" s="824" t="s">
        <v>587</v>
      </c>
      <c r="G32" s="825"/>
      <c r="H32" s="817"/>
      <c r="I32" s="817"/>
    </row>
    <row r="33" spans="1:9" s="826" customFormat="1" ht="19.5" customHeight="1">
      <c r="A33" s="3691" t="s">
        <v>185</v>
      </c>
      <c r="B33" s="821" t="s">
        <v>560</v>
      </c>
      <c r="C33" s="822" t="s">
        <v>588</v>
      </c>
      <c r="D33" s="823"/>
      <c r="E33" s="821">
        <v>1</v>
      </c>
      <c r="F33" s="824" t="s">
        <v>589</v>
      </c>
      <c r="G33" s="825"/>
      <c r="H33" s="817"/>
      <c r="I33" s="817"/>
    </row>
    <row r="34" spans="1:9" s="826" customFormat="1" ht="19.5" customHeight="1">
      <c r="A34" s="3691"/>
      <c r="B34" s="821" t="s">
        <v>563</v>
      </c>
      <c r="C34" s="822" t="s">
        <v>590</v>
      </c>
      <c r="D34" s="823"/>
      <c r="E34" s="821">
        <v>1.5</v>
      </c>
      <c r="F34" s="824" t="s">
        <v>591</v>
      </c>
      <c r="G34" s="825"/>
      <c r="H34" s="817"/>
      <c r="I34" s="817"/>
    </row>
    <row r="35" spans="1:9" s="826" customFormat="1" ht="19.5" customHeight="1">
      <c r="A35" s="3691" t="s">
        <v>186</v>
      </c>
      <c r="B35" s="821" t="s">
        <v>560</v>
      </c>
      <c r="C35" s="822" t="s">
        <v>592</v>
      </c>
      <c r="D35" s="823"/>
      <c r="E35" s="821">
        <v>1</v>
      </c>
      <c r="F35" s="824" t="s">
        <v>593</v>
      </c>
      <c r="G35" s="825"/>
      <c r="H35" s="817"/>
      <c r="I35" s="817"/>
    </row>
    <row r="36" spans="1:9" s="826" customFormat="1" ht="19.5" customHeight="1">
      <c r="A36" s="3691"/>
      <c r="B36" s="3691" t="s">
        <v>563</v>
      </c>
      <c r="C36" s="822" t="s">
        <v>594</v>
      </c>
      <c r="D36" s="823"/>
      <c r="E36" s="821">
        <v>1</v>
      </c>
      <c r="F36" s="824" t="s">
        <v>595</v>
      </c>
      <c r="G36" s="825"/>
      <c r="H36" s="817"/>
      <c r="I36" s="817"/>
    </row>
    <row r="37" spans="1:9" s="826" customFormat="1" ht="19.5" customHeight="1">
      <c r="A37" s="3691"/>
      <c r="B37" s="3691"/>
      <c r="C37" s="822" t="s">
        <v>596</v>
      </c>
      <c r="D37" s="823"/>
      <c r="E37" s="821">
        <v>1.5</v>
      </c>
      <c r="F37" s="824" t="s">
        <v>597</v>
      </c>
      <c r="G37" s="825"/>
      <c r="H37" s="817"/>
      <c r="I37" s="817"/>
    </row>
    <row r="38" spans="1:9" s="826" customFormat="1" ht="19.5" customHeight="1">
      <c r="A38" s="3691"/>
      <c r="B38" s="3691"/>
      <c r="C38" s="822" t="s">
        <v>598</v>
      </c>
      <c r="D38" s="823"/>
      <c r="E38" s="821">
        <v>1</v>
      </c>
      <c r="F38" s="824" t="s">
        <v>599</v>
      </c>
      <c r="G38" s="825"/>
      <c r="H38" s="817"/>
      <c r="I38" s="817"/>
    </row>
    <row r="39" spans="1:9" s="826" customFormat="1" ht="19.5" customHeight="1">
      <c r="A39" s="3691"/>
      <c r="B39" s="3691"/>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691" t="s">
        <v>614</v>
      </c>
      <c r="C61" s="757" t="s">
        <v>615</v>
      </c>
      <c r="D61" s="757" t="s">
        <v>616</v>
      </c>
      <c r="E61" s="834">
        <v>0.5</v>
      </c>
      <c r="F61" s="821">
        <v>80</v>
      </c>
    </row>
    <row r="62" spans="1:8" s="817" customFormat="1" ht="24">
      <c r="A62" s="821">
        <v>2</v>
      </c>
      <c r="B62" s="3691"/>
      <c r="C62" s="757" t="s">
        <v>617</v>
      </c>
      <c r="D62" s="757" t="s">
        <v>618</v>
      </c>
      <c r="E62" s="834">
        <v>0.5</v>
      </c>
      <c r="F62" s="821">
        <v>80</v>
      </c>
    </row>
    <row r="63" spans="1:8" s="817" customFormat="1" ht="36">
      <c r="A63" s="821">
        <v>3</v>
      </c>
      <c r="B63" s="3691"/>
      <c r="C63" s="757" t="s">
        <v>619</v>
      </c>
      <c r="D63" s="757" t="s">
        <v>620</v>
      </c>
      <c r="E63" s="834">
        <v>0.5</v>
      </c>
      <c r="F63" s="821">
        <v>80</v>
      </c>
    </row>
    <row r="64" spans="1:8" s="817" customFormat="1" ht="36">
      <c r="A64" s="821">
        <v>4</v>
      </c>
      <c r="B64" s="3691"/>
      <c r="C64" s="757" t="s">
        <v>621</v>
      </c>
      <c r="D64" s="757" t="s">
        <v>622</v>
      </c>
      <c r="E64" s="834">
        <v>0.4</v>
      </c>
      <c r="F64" s="821">
        <v>60</v>
      </c>
    </row>
    <row r="65" spans="1:6" s="817" customFormat="1" ht="36">
      <c r="A65" s="821">
        <v>5</v>
      </c>
      <c r="B65" s="3691"/>
      <c r="C65" s="757" t="s">
        <v>623</v>
      </c>
      <c r="D65" s="757" t="s">
        <v>624</v>
      </c>
      <c r="E65" s="834">
        <v>0.2</v>
      </c>
      <c r="F65" s="821">
        <v>30</v>
      </c>
    </row>
    <row r="66" spans="1:6" s="817" customFormat="1" ht="36">
      <c r="A66" s="821">
        <v>6</v>
      </c>
      <c r="B66" s="3691"/>
      <c r="C66" s="757" t="s">
        <v>625</v>
      </c>
      <c r="D66" s="757" t="s">
        <v>626</v>
      </c>
      <c r="E66" s="834">
        <v>0.3</v>
      </c>
      <c r="F66" s="821">
        <v>50</v>
      </c>
    </row>
    <row r="67" spans="1:6" s="817" customFormat="1" ht="36">
      <c r="A67" s="821">
        <v>7</v>
      </c>
      <c r="B67" s="3691"/>
      <c r="C67" s="757" t="s">
        <v>627</v>
      </c>
      <c r="D67" s="757" t="s">
        <v>628</v>
      </c>
      <c r="E67" s="834">
        <v>0.2</v>
      </c>
      <c r="F67" s="821">
        <v>30</v>
      </c>
    </row>
    <row r="68" spans="1:6" s="817" customFormat="1" ht="36">
      <c r="A68" s="821">
        <v>8</v>
      </c>
      <c r="B68" s="3691"/>
      <c r="C68" s="757" t="s">
        <v>629</v>
      </c>
      <c r="D68" s="757" t="s">
        <v>630</v>
      </c>
      <c r="E68" s="834">
        <v>0.2</v>
      </c>
      <c r="F68" s="821">
        <v>30</v>
      </c>
    </row>
    <row r="69" spans="1:6" s="817" customFormat="1" ht="36">
      <c r="A69" s="821">
        <v>9</v>
      </c>
      <c r="B69" s="3691"/>
      <c r="C69" s="757" t="s">
        <v>631</v>
      </c>
      <c r="D69" s="757" t="s">
        <v>632</v>
      </c>
      <c r="E69" s="834">
        <v>0.2</v>
      </c>
      <c r="F69" s="821">
        <v>30</v>
      </c>
    </row>
    <row r="70" spans="1:6" s="817" customFormat="1" ht="48">
      <c r="A70" s="821">
        <v>10</v>
      </c>
      <c r="B70" s="3691"/>
      <c r="C70" s="757" t="s">
        <v>633</v>
      </c>
      <c r="D70" s="757" t="s">
        <v>634</v>
      </c>
      <c r="E70" s="834">
        <v>0.2</v>
      </c>
      <c r="F70" s="821">
        <v>30</v>
      </c>
    </row>
    <row r="71" spans="1:6" s="817" customFormat="1" ht="48">
      <c r="A71" s="821">
        <v>11</v>
      </c>
      <c r="B71" s="3691"/>
      <c r="C71" s="757" t="s">
        <v>635</v>
      </c>
      <c r="D71" s="757" t="s">
        <v>636</v>
      </c>
      <c r="E71" s="834">
        <v>0.2</v>
      </c>
      <c r="F71" s="821">
        <v>30</v>
      </c>
    </row>
    <row r="72" spans="1:6" s="817" customFormat="1" ht="36">
      <c r="A72" s="821">
        <v>12</v>
      </c>
      <c r="B72" s="3691"/>
      <c r="C72" s="757" t="s">
        <v>637</v>
      </c>
      <c r="D72" s="757" t="s">
        <v>638</v>
      </c>
      <c r="E72" s="834">
        <v>0.5</v>
      </c>
      <c r="F72" s="821">
        <v>80</v>
      </c>
    </row>
    <row r="73" spans="1:6" s="817" customFormat="1" ht="24">
      <c r="A73" s="821">
        <v>13</v>
      </c>
      <c r="B73" s="3691"/>
      <c r="C73" s="757" t="s">
        <v>639</v>
      </c>
      <c r="D73" s="757" t="s">
        <v>640</v>
      </c>
      <c r="E73" s="834">
        <v>0.4</v>
      </c>
      <c r="F73" s="821">
        <v>60</v>
      </c>
    </row>
    <row r="74" spans="1:6" s="817" customFormat="1" ht="24">
      <c r="A74" s="821">
        <v>14</v>
      </c>
      <c r="B74" s="3691"/>
      <c r="C74" s="757" t="s">
        <v>641</v>
      </c>
      <c r="D74" s="757" t="s">
        <v>642</v>
      </c>
      <c r="E74" s="834">
        <v>0.2</v>
      </c>
      <c r="F74" s="821">
        <v>30</v>
      </c>
    </row>
    <row r="75" spans="1:6" s="817" customFormat="1" ht="24">
      <c r="A75" s="821">
        <v>15</v>
      </c>
      <c r="B75" s="3691"/>
      <c r="C75" s="757" t="s">
        <v>643</v>
      </c>
      <c r="D75" s="757" t="s">
        <v>644</v>
      </c>
      <c r="E75" s="834">
        <v>0.2</v>
      </c>
      <c r="F75" s="821">
        <v>30</v>
      </c>
    </row>
    <row r="76" spans="1:6" s="817" customFormat="1" ht="24">
      <c r="A76" s="821">
        <v>16</v>
      </c>
      <c r="B76" s="3691" t="s">
        <v>645</v>
      </c>
      <c r="C76" s="757" t="s">
        <v>646</v>
      </c>
      <c r="D76" s="757" t="s">
        <v>647</v>
      </c>
      <c r="E76" s="834">
        <v>0.5</v>
      </c>
      <c r="F76" s="821">
        <v>80</v>
      </c>
    </row>
    <row r="77" spans="1:6" s="817" customFormat="1" ht="24">
      <c r="A77" s="821">
        <v>17</v>
      </c>
      <c r="B77" s="3691"/>
      <c r="C77" s="757" t="s">
        <v>648</v>
      </c>
      <c r="D77" s="757" t="s">
        <v>649</v>
      </c>
      <c r="E77" s="834">
        <v>0.5</v>
      </c>
      <c r="F77" s="821">
        <v>80</v>
      </c>
    </row>
    <row r="78" spans="1:6" s="817" customFormat="1" ht="24">
      <c r="A78" s="821">
        <v>18</v>
      </c>
      <c r="B78" s="3691"/>
      <c r="C78" s="757" t="s">
        <v>650</v>
      </c>
      <c r="D78" s="757" t="s">
        <v>651</v>
      </c>
      <c r="E78" s="834">
        <v>0.2</v>
      </c>
      <c r="F78" s="821">
        <v>30</v>
      </c>
    </row>
    <row r="79" spans="1:6" s="817" customFormat="1" ht="24">
      <c r="A79" s="821">
        <v>19</v>
      </c>
      <c r="B79" s="3691"/>
      <c r="C79" s="757" t="s">
        <v>652</v>
      </c>
      <c r="D79" s="757" t="s">
        <v>653</v>
      </c>
      <c r="E79" s="834">
        <v>0.5</v>
      </c>
      <c r="F79" s="821">
        <v>80</v>
      </c>
    </row>
    <row r="80" spans="1:6" s="817" customFormat="1" ht="36">
      <c r="A80" s="821">
        <v>20</v>
      </c>
      <c r="B80" s="3691"/>
      <c r="C80" s="757" t="s">
        <v>654</v>
      </c>
      <c r="D80" s="757" t="s">
        <v>655</v>
      </c>
      <c r="E80" s="834">
        <v>0.2</v>
      </c>
      <c r="F80" s="821">
        <v>30</v>
      </c>
    </row>
    <row r="81" spans="1:6" s="817" customFormat="1" ht="36">
      <c r="A81" s="821">
        <v>21</v>
      </c>
      <c r="B81" s="3691"/>
      <c r="C81" s="757" t="s">
        <v>656</v>
      </c>
      <c r="D81" s="757" t="s">
        <v>657</v>
      </c>
      <c r="E81" s="834">
        <v>0.2</v>
      </c>
      <c r="F81" s="821">
        <v>30</v>
      </c>
    </row>
    <row r="82" spans="1:6" s="817" customFormat="1" ht="48">
      <c r="A82" s="821">
        <v>22</v>
      </c>
      <c r="B82" s="3691"/>
      <c r="C82" s="757" t="s">
        <v>658</v>
      </c>
      <c r="D82" s="757" t="s">
        <v>659</v>
      </c>
      <c r="E82" s="834">
        <v>0.2</v>
      </c>
      <c r="F82" s="821">
        <v>30</v>
      </c>
    </row>
    <row r="83" spans="1:6" s="817" customFormat="1" ht="48">
      <c r="A83" s="821">
        <v>23</v>
      </c>
      <c r="B83" s="3691"/>
      <c r="C83" s="757" t="s">
        <v>660</v>
      </c>
      <c r="D83" s="757" t="s">
        <v>661</v>
      </c>
      <c r="E83" s="834">
        <v>0.2</v>
      </c>
      <c r="F83" s="821">
        <v>30</v>
      </c>
    </row>
    <row r="84" spans="1:6" s="817" customFormat="1" ht="36">
      <c r="A84" s="821">
        <v>24</v>
      </c>
      <c r="B84" s="3691"/>
      <c r="C84" s="757" t="s">
        <v>662</v>
      </c>
      <c r="D84" s="757" t="s">
        <v>663</v>
      </c>
      <c r="E84" s="834">
        <v>0.2</v>
      </c>
      <c r="F84" s="821">
        <v>30</v>
      </c>
    </row>
    <row r="85" spans="1:6" s="817" customFormat="1" ht="36">
      <c r="A85" s="821">
        <v>25</v>
      </c>
      <c r="B85" s="3691"/>
      <c r="C85" s="757" t="s">
        <v>664</v>
      </c>
      <c r="D85" s="757" t="s">
        <v>665</v>
      </c>
      <c r="E85" s="834">
        <v>0.5</v>
      </c>
      <c r="F85" s="821">
        <v>80</v>
      </c>
    </row>
    <row r="86" spans="1:6" s="817" customFormat="1" ht="36">
      <c r="A86" s="821">
        <v>26</v>
      </c>
      <c r="B86" s="3691"/>
      <c r="C86" s="757" t="s">
        <v>666</v>
      </c>
      <c r="D86" s="757" t="s">
        <v>667</v>
      </c>
      <c r="E86" s="834">
        <v>0.2</v>
      </c>
      <c r="F86" s="821">
        <v>30</v>
      </c>
    </row>
    <row r="87" spans="1:6" s="817" customFormat="1" ht="36">
      <c r="A87" s="821">
        <v>27</v>
      </c>
      <c r="B87" s="3691"/>
      <c r="C87" s="757" t="s">
        <v>668</v>
      </c>
      <c r="D87" s="757" t="s">
        <v>669</v>
      </c>
      <c r="E87" s="834">
        <v>0.2</v>
      </c>
      <c r="F87" s="821">
        <v>30</v>
      </c>
    </row>
    <row r="88" spans="1:6" s="817" customFormat="1" ht="36">
      <c r="A88" s="821">
        <v>28</v>
      </c>
      <c r="B88" s="3691"/>
      <c r="C88" s="757" t="s">
        <v>670</v>
      </c>
      <c r="D88" s="757" t="s">
        <v>671</v>
      </c>
      <c r="E88" s="834">
        <v>0.2</v>
      </c>
      <c r="F88" s="821">
        <v>30</v>
      </c>
    </row>
    <row r="89" spans="1:6" s="817" customFormat="1" ht="24">
      <c r="A89" s="821">
        <v>29</v>
      </c>
      <c r="B89" s="3691"/>
      <c r="C89" s="757" t="s">
        <v>672</v>
      </c>
      <c r="D89" s="757" t="s">
        <v>673</v>
      </c>
      <c r="E89" s="834">
        <v>0.2</v>
      </c>
      <c r="F89" s="821">
        <v>30</v>
      </c>
    </row>
    <row r="90" spans="1:6" s="817" customFormat="1" ht="24">
      <c r="A90" s="821">
        <v>30</v>
      </c>
      <c r="B90" s="3691"/>
      <c r="C90" s="757" t="s">
        <v>674</v>
      </c>
      <c r="D90" s="757" t="s">
        <v>675</v>
      </c>
      <c r="E90" s="834">
        <v>0.2</v>
      </c>
      <c r="F90" s="821">
        <v>30</v>
      </c>
    </row>
    <row r="91" spans="1:6" s="817" customFormat="1" ht="36">
      <c r="A91" s="821">
        <v>31</v>
      </c>
      <c r="B91" s="3691"/>
      <c r="C91" s="757" t="s">
        <v>676</v>
      </c>
      <c r="D91" s="757" t="s">
        <v>677</v>
      </c>
      <c r="E91" s="834">
        <v>0.2</v>
      </c>
      <c r="F91" s="821">
        <v>30</v>
      </c>
    </row>
    <row r="92" spans="1:6" s="817" customFormat="1" ht="24">
      <c r="A92" s="821">
        <v>32</v>
      </c>
      <c r="B92" s="3691" t="s">
        <v>678</v>
      </c>
      <c r="C92" s="821" t="s">
        <v>679</v>
      </c>
      <c r="D92" s="757" t="s">
        <v>680</v>
      </c>
      <c r="E92" s="834">
        <v>0.2</v>
      </c>
      <c r="F92" s="821">
        <v>30</v>
      </c>
    </row>
    <row r="93" spans="1:6" s="817" customFormat="1" ht="36">
      <c r="A93" s="821">
        <v>33</v>
      </c>
      <c r="B93" s="3691"/>
      <c r="C93" s="821" t="s">
        <v>681</v>
      </c>
      <c r="D93" s="757" t="s">
        <v>682</v>
      </c>
      <c r="E93" s="834">
        <v>0.2</v>
      </c>
      <c r="F93" s="821">
        <v>30</v>
      </c>
    </row>
    <row r="94" spans="1:6" s="817" customFormat="1" ht="48">
      <c r="A94" s="821">
        <v>34</v>
      </c>
      <c r="B94" s="3691"/>
      <c r="C94" s="821" t="s">
        <v>683</v>
      </c>
      <c r="D94" s="757" t="s">
        <v>684</v>
      </c>
      <c r="E94" s="834">
        <v>0.2</v>
      </c>
      <c r="F94" s="821">
        <v>30</v>
      </c>
    </row>
    <row r="95" spans="1:6" s="817" customFormat="1" ht="36">
      <c r="A95" s="821">
        <v>35</v>
      </c>
      <c r="B95" s="3691"/>
      <c r="C95" s="821" t="s">
        <v>685</v>
      </c>
      <c r="D95" s="757" t="s">
        <v>686</v>
      </c>
      <c r="E95" s="834">
        <v>0.2</v>
      </c>
      <c r="F95" s="821">
        <v>30</v>
      </c>
    </row>
    <row r="96" spans="1:6" s="817" customFormat="1" ht="48">
      <c r="A96" s="821">
        <v>36</v>
      </c>
      <c r="B96" s="3691"/>
      <c r="C96" s="757" t="s">
        <v>687</v>
      </c>
      <c r="D96" s="757" t="s">
        <v>688</v>
      </c>
      <c r="E96" s="834">
        <v>0.2</v>
      </c>
      <c r="F96" s="821">
        <v>30</v>
      </c>
    </row>
    <row r="97" spans="1:6" s="817" customFormat="1" ht="36">
      <c r="A97" s="821">
        <v>37</v>
      </c>
      <c r="B97" s="3691"/>
      <c r="C97" s="821" t="s">
        <v>689</v>
      </c>
      <c r="D97" s="757" t="s">
        <v>690</v>
      </c>
      <c r="E97" s="834">
        <v>0.2</v>
      </c>
      <c r="F97" s="821">
        <v>30</v>
      </c>
    </row>
    <row r="98" spans="1:6" s="817" customFormat="1" ht="36">
      <c r="A98" s="821">
        <v>38</v>
      </c>
      <c r="B98" s="3691"/>
      <c r="C98" s="821" t="s">
        <v>691</v>
      </c>
      <c r="D98" s="757" t="s">
        <v>692</v>
      </c>
      <c r="E98" s="834">
        <v>0.2</v>
      </c>
      <c r="F98" s="821">
        <v>30</v>
      </c>
    </row>
    <row r="99" spans="1:6" s="817" customFormat="1" ht="36">
      <c r="A99" s="821">
        <v>39</v>
      </c>
      <c r="B99" s="3691" t="s">
        <v>693</v>
      </c>
      <c r="C99" s="821" t="s">
        <v>694</v>
      </c>
      <c r="D99" s="757" t="s">
        <v>695</v>
      </c>
      <c r="E99" s="834">
        <v>0.3</v>
      </c>
      <c r="F99" s="821">
        <v>50</v>
      </c>
    </row>
    <row r="100" spans="1:6" s="817" customFormat="1" ht="24">
      <c r="A100" s="821">
        <v>40</v>
      </c>
      <c r="B100" s="3691"/>
      <c r="C100" s="821" t="s">
        <v>696</v>
      </c>
      <c r="D100" s="757" t="s">
        <v>697</v>
      </c>
      <c r="E100" s="834">
        <v>0.2</v>
      </c>
      <c r="F100" s="821">
        <v>30</v>
      </c>
    </row>
    <row r="101" spans="1:6" s="817" customFormat="1" ht="36">
      <c r="A101" s="821">
        <v>41</v>
      </c>
      <c r="B101" s="3691"/>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691" t="s">
        <v>708</v>
      </c>
      <c r="C105" s="821" t="s">
        <v>709</v>
      </c>
      <c r="D105" s="757" t="s">
        <v>710</v>
      </c>
      <c r="E105" s="834">
        <v>0.2</v>
      </c>
      <c r="F105" s="821">
        <v>30</v>
      </c>
    </row>
    <row r="106" spans="1:6" s="817" customFormat="1" ht="36">
      <c r="A106" s="821">
        <v>46</v>
      </c>
      <c r="B106" s="3691"/>
      <c r="C106" s="821" t="s">
        <v>711</v>
      </c>
      <c r="D106" s="757" t="s">
        <v>712</v>
      </c>
      <c r="E106" s="834">
        <v>0.2</v>
      </c>
      <c r="F106" s="821">
        <v>30</v>
      </c>
    </row>
    <row r="107" spans="1:6" s="817" customFormat="1" ht="36">
      <c r="A107" s="821">
        <v>47</v>
      </c>
      <c r="B107" s="3691" t="s">
        <v>713</v>
      </c>
      <c r="C107" s="821" t="s">
        <v>714</v>
      </c>
      <c r="D107" s="757" t="s">
        <v>715</v>
      </c>
      <c r="E107" s="834">
        <v>0.3</v>
      </c>
      <c r="F107" s="821">
        <v>50</v>
      </c>
    </row>
    <row r="108" spans="1:6" s="817" customFormat="1" ht="36">
      <c r="A108" s="821">
        <v>48</v>
      </c>
      <c r="B108" s="3691"/>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691" t="s">
        <v>724</v>
      </c>
      <c r="C111" s="821" t="s">
        <v>725</v>
      </c>
      <c r="D111" s="757" t="s">
        <v>726</v>
      </c>
      <c r="E111" s="834">
        <v>0.2</v>
      </c>
      <c r="F111" s="821">
        <v>30</v>
      </c>
    </row>
    <row r="112" spans="1:6" s="817" customFormat="1" ht="24">
      <c r="A112" s="821">
        <v>52</v>
      </c>
      <c r="B112" s="3691"/>
      <c r="C112" s="821" t="s">
        <v>727</v>
      </c>
      <c r="D112" s="757" t="s">
        <v>728</v>
      </c>
      <c r="E112" s="834">
        <v>0.2</v>
      </c>
      <c r="F112" s="821">
        <v>30</v>
      </c>
    </row>
    <row r="113" spans="1:6" s="817" customFormat="1" ht="24">
      <c r="A113" s="821">
        <v>53</v>
      </c>
      <c r="B113" s="3691"/>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691" t="s">
        <v>737</v>
      </c>
      <c r="C116" s="821" t="s">
        <v>738</v>
      </c>
      <c r="D116" s="757" t="s">
        <v>739</v>
      </c>
      <c r="E116" s="834">
        <v>0.2</v>
      </c>
      <c r="F116" s="821">
        <v>30</v>
      </c>
    </row>
    <row r="117" spans="1:6" ht="36">
      <c r="A117" s="821">
        <v>57</v>
      </c>
      <c r="B117" s="3691"/>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2763</v>
      </c>
      <c r="B1" s="2333"/>
      <c r="C1" s="2333"/>
      <c r="D1" s="2333"/>
      <c r="E1" s="2333"/>
      <c r="F1" s="2994"/>
      <c r="G1" s="2994"/>
      <c r="H1" s="2994"/>
      <c r="I1" s="2994"/>
      <c r="J1" s="2994"/>
      <c r="K1" s="2994"/>
      <c r="L1" s="2994"/>
      <c r="M1" s="2994"/>
      <c r="N1" s="2994"/>
      <c r="O1" s="2994"/>
      <c r="P1" s="2994"/>
    </row>
    <row r="2" spans="1:16" ht="15.75">
      <c r="A2" s="2331" t="s">
        <v>2755</v>
      </c>
      <c r="B2" s="2798" t="e">
        <f ca="1">SUMIF(B6:B13,"&lt;&gt;#ref!",B6:B13)</f>
        <v>#DIV/0!</v>
      </c>
      <c r="C2" s="2331" t="s">
        <v>2756</v>
      </c>
      <c r="D2" s="2331" t="s">
        <v>2757</v>
      </c>
      <c r="E2" s="2808">
        <f ca="1">SUMIF(E6:E13,"&lt;&gt;#ref!",E6:E13)</f>
        <v>0</v>
      </c>
      <c r="F2" s="2994"/>
      <c r="G2" s="2994"/>
      <c r="H2" s="2994"/>
      <c r="I2" s="2994"/>
      <c r="J2" s="2994"/>
      <c r="K2" s="2994"/>
      <c r="L2" s="2994"/>
      <c r="M2" s="2994"/>
      <c r="N2" s="2994"/>
      <c r="O2" s="2994"/>
      <c r="P2" s="2994"/>
    </row>
    <row r="3" spans="1:16" ht="15.75">
      <c r="A3" s="2331" t="s">
        <v>2758</v>
      </c>
      <c r="B3" s="2798" t="e">
        <f ca="1">ROUND(B2*10000/E2,0)</f>
        <v>#DIV/0!</v>
      </c>
      <c r="C3" s="2331" t="s">
        <v>2764</v>
      </c>
      <c r="D3" s="2994"/>
      <c r="E3" s="2994"/>
      <c r="F3" s="2994"/>
      <c r="G3" s="2994"/>
      <c r="H3" s="2994"/>
      <c r="I3" s="2994"/>
      <c r="J3" s="2994"/>
      <c r="K3" s="2994"/>
      <c r="L3" s="2994"/>
      <c r="M3" s="2994"/>
      <c r="N3" s="2994"/>
      <c r="O3" s="2994"/>
      <c r="P3" s="2994"/>
    </row>
    <row r="4" spans="1:16" ht="15.75">
      <c r="A4" s="2995"/>
      <c r="B4" s="2994"/>
      <c r="C4" s="2994"/>
      <c r="D4" s="2994"/>
      <c r="E4" s="2994"/>
      <c r="F4" s="2994"/>
      <c r="G4" s="2994"/>
      <c r="H4" s="2994"/>
      <c r="I4" s="2994"/>
      <c r="J4" s="2994"/>
      <c r="K4" s="2994"/>
      <c r="L4" s="2994"/>
      <c r="M4" s="2994"/>
      <c r="N4" s="2994"/>
      <c r="O4" s="2994"/>
      <c r="P4" s="2994"/>
    </row>
    <row r="5" spans="1:16" ht="28.5">
      <c r="A5" s="2804" t="s">
        <v>2759</v>
      </c>
      <c r="B5" s="2806" t="s">
        <v>2760</v>
      </c>
      <c r="C5" s="2332"/>
      <c r="D5" s="2994"/>
      <c r="E5" s="2807" t="s">
        <v>2761</v>
      </c>
      <c r="F5" s="2994"/>
      <c r="G5" s="2994"/>
      <c r="H5" s="2994"/>
      <c r="I5" s="2994"/>
      <c r="J5" s="2994"/>
      <c r="K5" s="2994"/>
      <c r="L5" s="2994"/>
      <c r="M5" s="2994"/>
      <c r="N5" s="2994"/>
      <c r="O5" s="2994"/>
      <c r="P5" s="2994"/>
    </row>
    <row r="6" spans="1:16" ht="15.75">
      <c r="A6" s="2805" t="s">
        <v>2762</v>
      </c>
      <c r="B6" s="2798" t="e">
        <f ca="1">SUMIF(INDIRECT("'"&amp;A6&amp;"'"&amp;"!A:A"),"总价",INDIRECT("'"&amp;A6&amp;"'"&amp;"!B:B"))</f>
        <v>#DIV/0!</v>
      </c>
      <c r="C6" s="2331" t="s">
        <v>2756</v>
      </c>
      <c r="D6" s="2994"/>
      <c r="E6" s="2808">
        <f ca="1">SUMIF(INDIRECT("'"&amp;A6&amp;"'"&amp;"!C:C"),"建筑面积",INDIRECT("'"&amp;A6&amp;"'"&amp;"!D:D"))</f>
        <v>0</v>
      </c>
      <c r="F6" s="2994"/>
      <c r="G6" s="2994"/>
      <c r="H6" s="2994"/>
      <c r="I6" s="2994"/>
      <c r="J6" s="2994"/>
      <c r="K6" s="2994"/>
      <c r="L6" s="2994"/>
      <c r="M6" s="2994"/>
      <c r="N6" s="2994"/>
      <c r="O6" s="2994"/>
      <c r="P6" s="2994"/>
    </row>
    <row r="7" spans="1:16" ht="15.75">
      <c r="A7" s="2805"/>
      <c r="B7" s="2798" t="e">
        <f ca="1">SUMIF(INDIRECT("'"&amp;A7&amp;"'"&amp;"!A:A"),"总价",INDIRECT("'"&amp;A7&amp;"'"&amp;"!B:B"))</f>
        <v>#REF!</v>
      </c>
      <c r="C7" s="2331" t="s">
        <v>2756</v>
      </c>
      <c r="D7" s="2994"/>
      <c r="E7" s="2808" t="e">
        <f t="shared" ref="E7:E13" ca="1" si="0">SUMIF(INDIRECT("'"&amp;A7&amp;"'"&amp;"!C:C"),"建筑面积",INDIRECT("'"&amp;A7&amp;"'"&amp;"!D:D"))</f>
        <v>#REF!</v>
      </c>
      <c r="F7" s="2994"/>
      <c r="G7" s="2994"/>
      <c r="H7" s="2994"/>
      <c r="I7" s="2994"/>
      <c r="J7" s="2994"/>
      <c r="K7" s="2994"/>
      <c r="L7" s="2994"/>
      <c r="M7" s="2994"/>
      <c r="N7" s="2994"/>
      <c r="O7" s="2994"/>
      <c r="P7" s="2994"/>
    </row>
    <row r="8" spans="1:16" ht="15.75">
      <c r="A8" s="2805"/>
      <c r="B8" s="2798" t="e">
        <f t="shared" ref="B8:B13" ca="1" si="1">SUMIF(INDIRECT("'"&amp;A8&amp;"'"&amp;"!A:A"),"总价",INDIRECT("'"&amp;A8&amp;"'"&amp;"!B:B"))</f>
        <v>#REF!</v>
      </c>
      <c r="C8" s="2331" t="s">
        <v>2756</v>
      </c>
      <c r="D8" s="2994"/>
      <c r="E8" s="2808" t="e">
        <f t="shared" ca="1" si="0"/>
        <v>#REF!</v>
      </c>
      <c r="F8" s="2994"/>
      <c r="G8" s="2994"/>
      <c r="H8" s="2994"/>
      <c r="I8" s="2994"/>
      <c r="J8" s="2994"/>
      <c r="K8" s="2994"/>
      <c r="L8" s="2994"/>
      <c r="M8" s="2994"/>
      <c r="N8" s="2994"/>
      <c r="O8" s="2994"/>
      <c r="P8" s="2994"/>
    </row>
    <row r="9" spans="1:16" ht="15.75">
      <c r="A9" s="2805"/>
      <c r="B9" s="2798" t="e">
        <f t="shared" ca="1" si="1"/>
        <v>#REF!</v>
      </c>
      <c r="C9" s="2331" t="s">
        <v>2756</v>
      </c>
      <c r="D9" s="2994"/>
      <c r="E9" s="2808" t="e">
        <f t="shared" ca="1" si="0"/>
        <v>#REF!</v>
      </c>
      <c r="F9" s="2994"/>
      <c r="G9" s="2994"/>
      <c r="H9" s="2994"/>
      <c r="I9" s="2994"/>
      <c r="J9" s="2994"/>
      <c r="K9" s="2994"/>
      <c r="L9" s="2994"/>
      <c r="M9" s="2994"/>
      <c r="N9" s="2994"/>
      <c r="O9" s="2994"/>
      <c r="P9" s="2994"/>
    </row>
    <row r="10" spans="1:16" ht="15.75">
      <c r="A10" s="2805"/>
      <c r="B10" s="2798" t="e">
        <f t="shared" ca="1" si="1"/>
        <v>#REF!</v>
      </c>
      <c r="C10" s="2331" t="s">
        <v>2756</v>
      </c>
      <c r="D10" s="2994"/>
      <c r="E10" s="2808" t="e">
        <f t="shared" ca="1" si="0"/>
        <v>#REF!</v>
      </c>
      <c r="F10" s="2994"/>
      <c r="G10" s="2994"/>
      <c r="H10" s="2994"/>
      <c r="I10" s="2994"/>
      <c r="J10" s="2994"/>
      <c r="K10" s="2994"/>
      <c r="L10" s="2994"/>
      <c r="M10" s="2994"/>
      <c r="N10" s="2994"/>
      <c r="O10" s="2994"/>
      <c r="P10" s="2994"/>
    </row>
    <row r="11" spans="1:16" ht="15.75">
      <c r="A11" s="2805"/>
      <c r="B11" s="2798" t="e">
        <f t="shared" ca="1" si="1"/>
        <v>#REF!</v>
      </c>
      <c r="C11" s="2331" t="s">
        <v>2756</v>
      </c>
      <c r="D11" s="2994"/>
      <c r="E11" s="2808" t="e">
        <f t="shared" ca="1" si="0"/>
        <v>#REF!</v>
      </c>
      <c r="F11" s="2994"/>
      <c r="G11" s="2994"/>
      <c r="H11" s="2994"/>
      <c r="I11" s="2994"/>
      <c r="J11" s="2994"/>
      <c r="K11" s="2994"/>
      <c r="L11" s="2994"/>
      <c r="M11" s="2994"/>
      <c r="N11" s="2994"/>
      <c r="O11" s="2994"/>
      <c r="P11" s="2994"/>
    </row>
    <row r="12" spans="1:16" ht="15.75">
      <c r="A12" s="2805"/>
      <c r="B12" s="2798" t="e">
        <f t="shared" ca="1" si="1"/>
        <v>#REF!</v>
      </c>
      <c r="C12" s="2331" t="s">
        <v>2756</v>
      </c>
      <c r="D12" s="2994"/>
      <c r="E12" s="2808" t="e">
        <f t="shared" ca="1" si="0"/>
        <v>#REF!</v>
      </c>
      <c r="F12" s="2994"/>
      <c r="G12" s="2994"/>
      <c r="H12" s="2994"/>
      <c r="I12" s="2994"/>
      <c r="J12" s="2994"/>
      <c r="K12" s="2994"/>
      <c r="L12" s="2994"/>
      <c r="M12" s="2994"/>
      <c r="N12" s="2994"/>
      <c r="O12" s="2994"/>
      <c r="P12" s="2994"/>
    </row>
    <row r="13" spans="1:16" ht="15.75">
      <c r="A13" s="2805"/>
      <c r="B13" s="2798" t="e">
        <f t="shared" ca="1" si="1"/>
        <v>#REF!</v>
      </c>
      <c r="C13" s="2331" t="s">
        <v>2756</v>
      </c>
      <c r="D13" s="2994"/>
      <c r="E13" s="2808" t="e">
        <f t="shared" ca="1" si="0"/>
        <v>#REF!</v>
      </c>
      <c r="F13" s="2994"/>
      <c r="G13" s="2994"/>
      <c r="H13" s="2994"/>
      <c r="I13" s="2994"/>
      <c r="J13" s="2994"/>
      <c r="K13" s="2994"/>
      <c r="L13" s="2994"/>
      <c r="M13" s="2994"/>
      <c r="N13" s="2994"/>
      <c r="O13" s="2994"/>
      <c r="P13" s="2994"/>
    </row>
    <row r="14" spans="1:16">
      <c r="A14" s="2994"/>
      <c r="B14" s="2994"/>
      <c r="C14" s="2994"/>
      <c r="D14" s="2994"/>
      <c r="E14" s="2994"/>
      <c r="F14" s="2994"/>
      <c r="G14" s="2994"/>
      <c r="H14" s="2994"/>
      <c r="I14" s="2994"/>
      <c r="J14" s="2994"/>
      <c r="K14" s="2994"/>
      <c r="L14" s="2994"/>
      <c r="M14" s="2994"/>
      <c r="N14" s="2994"/>
      <c r="O14" s="2994"/>
      <c r="P14" s="2994"/>
    </row>
    <row r="15" spans="1:16">
      <c r="A15" s="2994"/>
      <c r="B15" s="2994"/>
      <c r="C15" s="2994"/>
      <c r="D15" s="2994"/>
      <c r="E15" s="2994"/>
      <c r="F15" s="2994"/>
      <c r="G15" s="2994"/>
      <c r="H15" s="2994"/>
      <c r="I15" s="2994"/>
      <c r="J15" s="2994"/>
      <c r="K15" s="2994"/>
      <c r="L15" s="2994"/>
      <c r="M15" s="2994"/>
      <c r="N15" s="2994"/>
      <c r="O15" s="2994"/>
      <c r="P15" s="2994"/>
    </row>
    <row r="16" spans="1:16">
      <c r="A16" s="2994"/>
      <c r="B16" s="2994"/>
      <c r="C16" s="2994"/>
      <c r="D16" s="2994"/>
      <c r="E16" s="2994"/>
      <c r="F16" s="2994"/>
      <c r="G16" s="2994"/>
      <c r="H16" s="2994"/>
      <c r="I16" s="2994"/>
      <c r="J16" s="2994"/>
      <c r="K16" s="2994"/>
      <c r="L16" s="2994"/>
      <c r="M16" s="2994"/>
      <c r="N16" s="2994"/>
      <c r="O16" s="2994"/>
      <c r="P16" s="2994"/>
    </row>
    <row r="17" spans="1:16">
      <c r="A17" s="2994"/>
      <c r="B17" s="2994"/>
      <c r="C17" s="2994"/>
      <c r="D17" s="2994"/>
      <c r="E17" s="2994"/>
      <c r="F17" s="2994"/>
      <c r="G17" s="2994"/>
      <c r="H17" s="2994"/>
      <c r="I17" s="2994"/>
      <c r="J17" s="2994"/>
      <c r="K17" s="2994"/>
      <c r="L17" s="2994"/>
      <c r="M17" s="2994"/>
      <c r="N17" s="2994"/>
      <c r="O17" s="2994"/>
      <c r="P17" s="2994"/>
    </row>
    <row r="18" spans="1:16">
      <c r="A18" s="2994"/>
      <c r="B18" s="2994"/>
      <c r="C18" s="2994"/>
      <c r="D18" s="2994"/>
      <c r="E18" s="2994"/>
      <c r="F18" s="2994"/>
      <c r="G18" s="2994"/>
      <c r="H18" s="2994"/>
      <c r="I18" s="2994"/>
      <c r="J18" s="2994"/>
      <c r="K18" s="2994"/>
      <c r="L18" s="2994"/>
      <c r="M18" s="2994"/>
      <c r="N18" s="2994"/>
      <c r="O18" s="2994"/>
      <c r="P18" s="2994"/>
    </row>
    <row r="19" spans="1:16">
      <c r="A19" s="2994"/>
      <c r="B19" s="2994"/>
      <c r="C19" s="2994"/>
      <c r="D19" s="2994"/>
      <c r="E19" s="2994"/>
      <c r="F19" s="2994"/>
      <c r="G19" s="2994"/>
      <c r="H19" s="2994"/>
      <c r="I19" s="2994"/>
      <c r="J19" s="2994"/>
      <c r="K19" s="2994"/>
      <c r="L19" s="2994"/>
      <c r="M19" s="2994"/>
      <c r="N19" s="2994"/>
      <c r="O19" s="2994"/>
      <c r="P19" s="2994"/>
    </row>
    <row r="20" spans="1:16">
      <c r="A20" s="2994"/>
      <c r="B20" s="2994"/>
      <c r="C20" s="2994"/>
      <c r="D20" s="2994"/>
      <c r="E20" s="2994"/>
      <c r="F20" s="2994"/>
      <c r="G20" s="2994"/>
      <c r="H20" s="2994"/>
      <c r="I20" s="2994"/>
      <c r="J20" s="2994"/>
      <c r="K20" s="2994"/>
      <c r="L20" s="2994"/>
      <c r="M20" s="2994"/>
      <c r="N20" s="2994"/>
      <c r="O20" s="2994"/>
      <c r="P20" s="2994"/>
    </row>
    <row r="21" spans="1:16">
      <c r="A21" s="2994"/>
      <c r="B21" s="2994"/>
      <c r="C21" s="2994"/>
      <c r="D21" s="2994"/>
      <c r="E21" s="2994"/>
      <c r="F21" s="2994"/>
      <c r="G21" s="2994"/>
      <c r="H21" s="2994"/>
      <c r="I21" s="2994"/>
      <c r="J21" s="2994"/>
      <c r="K21" s="2994"/>
      <c r="L21" s="2994"/>
      <c r="M21" s="2994"/>
      <c r="N21" s="2994"/>
      <c r="O21" s="2994"/>
      <c r="P21" s="299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3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5"/>
      <c r="C2" s="3355"/>
      <c r="D2" s="3355"/>
      <c r="E2" s="3355"/>
    </row>
    <row r="3" spans="1:5" ht="18">
      <c r="A3" s="3356" t="str">
        <f>IF(项目基本情况!B9="房地产市场价值","估价结果一览表（市场价值不需“结果表-1”）","估价结果一览表")</f>
        <v>估价结果一览表</v>
      </c>
      <c r="B3" s="3356"/>
      <c r="C3" s="3356"/>
      <c r="D3" s="3356"/>
      <c r="E3" s="3356"/>
    </row>
    <row r="4" spans="1:5" ht="19.5" thickBot="1">
      <c r="A4" s="1648"/>
      <c r="B4" s="3354" t="s">
        <v>1535</v>
      </c>
      <c r="C4" s="3354"/>
      <c r="D4" s="3354"/>
      <c r="E4" s="1648"/>
    </row>
    <row r="5" spans="1:5" ht="16.5" thickTop="1">
      <c r="A5" s="1646"/>
      <c r="B5" s="3352" t="s">
        <v>1527</v>
      </c>
      <c r="C5" s="1649" t="s">
        <v>1528</v>
      </c>
      <c r="D5" s="959">
        <f ca="1">结果表!H101</f>
        <v>47074</v>
      </c>
      <c r="E5" s="1646"/>
    </row>
    <row r="6" spans="1:5" ht="15.75">
      <c r="A6" s="1646"/>
      <c r="B6" s="3352"/>
      <c r="C6" s="1649" t="s">
        <v>1529</v>
      </c>
      <c r="D6" s="959" t="str">
        <f ca="1">NUMBERSTRING(INT(D5*10000),2)&amp;"元整"</f>
        <v>肆亿柒仟零柒拾肆万元整</v>
      </c>
      <c r="E6" s="1646"/>
    </row>
    <row r="7" spans="1:5" ht="15.75">
      <c r="A7" s="1646"/>
      <c r="B7" s="3357"/>
      <c r="C7" s="1650" t="s">
        <v>1530</v>
      </c>
      <c r="D7" s="960">
        <f ca="1">结果表!H102</f>
        <v>6735</v>
      </c>
      <c r="E7" s="1646"/>
    </row>
    <row r="8" spans="1:5" ht="15.75">
      <c r="A8" s="1646"/>
      <c r="B8" s="3358" t="str">
        <f>结果表!E103</f>
        <v>2.估价师知悉的法定优先受偿款</v>
      </c>
      <c r="C8" s="1651" t="s">
        <v>1531</v>
      </c>
      <c r="D8" s="960">
        <f>结果表!H103</f>
        <v>0</v>
      </c>
      <c r="E8" s="1646"/>
    </row>
    <row r="9" spans="1:5" ht="15.75">
      <c r="A9" s="1646"/>
      <c r="B9" s="3360"/>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351" t="str">
        <f>结果表!E107</f>
        <v>3.房地产抵押价值</v>
      </c>
      <c r="C13" s="1654" t="s">
        <v>1528</v>
      </c>
      <c r="D13" s="962">
        <f ca="1">结果表!H107</f>
        <v>47074</v>
      </c>
      <c r="E13" s="1646"/>
    </row>
    <row r="14" spans="1:5" ht="15.75">
      <c r="A14" s="1646"/>
      <c r="B14" s="3352"/>
      <c r="C14" s="1649" t="s">
        <v>1529</v>
      </c>
      <c r="D14" s="959" t="str">
        <f ca="1">NUMBERSTRING(INT(D13*10000),2)&amp;"元整"</f>
        <v>肆亿柒仟零柒拾肆万元整</v>
      </c>
      <c r="E14" s="1646"/>
    </row>
    <row r="15" spans="1:5" ht="15">
      <c r="A15" s="1646"/>
      <c r="B15" s="3357"/>
      <c r="C15" s="1650" t="s">
        <v>1539</v>
      </c>
      <c r="D15" s="968">
        <f ca="1">结果表!H108</f>
        <v>6735</v>
      </c>
      <c r="E15" s="1646"/>
    </row>
    <row r="16" spans="1:5" ht="15">
      <c r="A16" s="1646"/>
      <c r="B16" s="3358" t="str">
        <f>结果表!E109</f>
        <v>——</v>
      </c>
      <c r="C16" s="1654" t="s">
        <v>1540</v>
      </c>
      <c r="D16" s="1655" t="str">
        <f>结果表!H109</f>
        <v>——</v>
      </c>
      <c r="E16" s="1646"/>
    </row>
    <row r="17" spans="1:5" ht="15.75">
      <c r="A17" s="1646"/>
      <c r="B17" s="3359"/>
      <c r="C17" s="1649" t="s">
        <v>1541</v>
      </c>
      <c r="D17" s="959" t="e">
        <f>NUMBERSTRING(INT(D16*10000),2)&amp;"元整"</f>
        <v>#VALUE!</v>
      </c>
      <c r="E17" s="1646"/>
    </row>
    <row r="18" spans="1:5" ht="15">
      <c r="A18" s="1646"/>
      <c r="B18" s="3360"/>
      <c r="C18" s="1650" t="s">
        <v>1530</v>
      </c>
      <c r="D18" s="968" t="str">
        <f>结果表!H110</f>
        <v>——</v>
      </c>
      <c r="E18" s="1646"/>
    </row>
    <row r="19" spans="1:5" ht="15.75">
      <c r="A19" s="1646"/>
      <c r="B19" s="3351" t="str">
        <f>结果表!E111</f>
        <v>——</v>
      </c>
      <c r="C19" s="1654" t="s">
        <v>1528</v>
      </c>
      <c r="D19" s="960" t="str">
        <f>结果表!H111</f>
        <v>——</v>
      </c>
      <c r="E19" s="1646"/>
    </row>
    <row r="20" spans="1:5" ht="15.75">
      <c r="A20" s="1646"/>
      <c r="B20" s="3352"/>
      <c r="C20" s="1649" t="s">
        <v>1541</v>
      </c>
      <c r="D20" s="959" t="e">
        <f>NUMBERSTRING(INT(D19*10000),2)&amp;"元整"</f>
        <v>#VALUE!</v>
      </c>
      <c r="E20" s="1646"/>
    </row>
    <row r="21" spans="1:5" ht="15.75" thickBot="1">
      <c r="A21" s="1646"/>
      <c r="B21" s="3353"/>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697" t="s">
        <v>1058</v>
      </c>
      <c r="C1" s="3697"/>
      <c r="D1" s="3697"/>
      <c r="E1" s="3697"/>
      <c r="F1" s="3697"/>
      <c r="G1" s="3693" t="s">
        <v>1059</v>
      </c>
      <c r="H1" s="3693"/>
      <c r="I1" s="3693"/>
      <c r="J1" s="3693"/>
      <c r="K1" s="3693"/>
      <c r="L1" s="3693"/>
      <c r="N1" s="3693" t="s">
        <v>1060</v>
      </c>
      <c r="O1" s="3693"/>
      <c r="P1" s="3693"/>
      <c r="Q1" s="3693"/>
      <c r="S1" s="3693" t="s">
        <v>1061</v>
      </c>
      <c r="T1" s="3693"/>
      <c r="U1" s="3693"/>
      <c r="V1" s="3693"/>
      <c r="X1" s="3692" t="s">
        <v>1062</v>
      </c>
      <c r="Y1" s="3693"/>
      <c r="Z1" s="3693"/>
      <c r="AA1" s="3693"/>
      <c r="AB1" s="3693"/>
      <c r="AD1" s="3692" t="s">
        <v>1063</v>
      </c>
      <c r="AE1" s="3693"/>
      <c r="AF1" s="3693"/>
      <c r="AG1" s="3693"/>
      <c r="AH1" s="3693"/>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2796</v>
      </c>
      <c r="B3" s="2365"/>
      <c r="C3" s="2365"/>
      <c r="D3" s="2366"/>
      <c r="E3" s="2366"/>
      <c r="F3" s="2365"/>
      <c r="G3" s="2367"/>
      <c r="H3" s="2368"/>
      <c r="I3" s="2369">
        <f>ROUND(AVERAGE($I4:$I36),2)</f>
        <v>1.66</v>
      </c>
      <c r="J3" s="2369">
        <f>ROUND(AVERAGE($J4:$J36),2)</f>
        <v>1.05</v>
      </c>
      <c r="K3" s="2369">
        <f>ROUND(AVERAGE($K4:$K36),2)</f>
        <v>1.83</v>
      </c>
      <c r="L3" s="2369">
        <f>ROUND(AVERAGE($L4:$L36),2)</f>
        <v>1.22</v>
      </c>
      <c r="N3" s="2367"/>
      <c r="S3" s="2367"/>
      <c r="W3" s="2371"/>
      <c r="X3" s="2372">
        <f>ROUND(SUMPRODUCT(PRODUCT(1+N3:N$35)),4)</f>
        <v>1.6415999999999999</v>
      </c>
      <c r="Y3" s="2372">
        <f>ROUND(SUMPRODUCT(PRODUCT(1+O3:O$35)),4)</f>
        <v>1.3644000000000001</v>
      </c>
      <c r="Z3" s="2372">
        <f t="shared" ref="Z3:Z33" si="0">Y3</f>
        <v>1.3644000000000001</v>
      </c>
      <c r="AA3" s="2372">
        <f>ROUND(SUMPRODUCT(PRODUCT(1+P3:P$35)),4)</f>
        <v>1.7232000000000001</v>
      </c>
      <c r="AB3" s="2372">
        <f>ROUND(SUMPRODUCT(PRODUCT(1+Q3:Q$35)),4)</f>
        <v>1.4529000000000001</v>
      </c>
      <c r="AD3" s="2373">
        <f>ROUND(AVERAGE(I3:I$36)/100,4)</f>
        <v>1.66E-2</v>
      </c>
      <c r="AE3" s="2373">
        <f>ROUND(AVERAGE(J3:J$36)/100,4)</f>
        <v>1.0500000000000001E-2</v>
      </c>
      <c r="AF3" s="2373">
        <f t="shared" ref="AF3:AF34" si="1">AE3</f>
        <v>1.0500000000000001E-2</v>
      </c>
      <c r="AG3" s="2373">
        <f>ROUND(AVERAGE(K3:K$36)/100,4)</f>
        <v>1.83E-2</v>
      </c>
      <c r="AH3" s="2373">
        <f>ROUND(AVERAGE(L3:L$36)/100,4)</f>
        <v>1.2200000000000001E-2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3005</v>
      </c>
      <c r="B5" s="2383">
        <f t="shared" ref="B5" si="2">B6*(1+N5)</f>
        <v>504.87072809615569</v>
      </c>
      <c r="C5" s="2383">
        <f t="shared" ref="C5" si="3">C6*(1+O5)</f>
        <v>351.71182348101968</v>
      </c>
      <c r="D5" s="2383">
        <f t="shared" ref="D5" si="4">C5</f>
        <v>351.71182348101968</v>
      </c>
      <c r="E5" s="2383">
        <f t="shared" ref="E5" si="5">E6*(1+P5)</f>
        <v>728.75350858360832</v>
      </c>
      <c r="F5" s="2383">
        <f t="shared" ref="F5" si="6">F6*(1+Q5)</f>
        <v>334.04593931673656</v>
      </c>
      <c r="G5" s="3031">
        <v>2021</v>
      </c>
      <c r="H5" s="2385">
        <v>4</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2797</v>
      </c>
      <c r="X5" s="2391">
        <f>ROUND(IF(项目基本情况!B2="出让",SUMPRODUCT(PRODUCT(1+N5:N$36)),SUMPRODUCT(PRODUCT(1+N5:N$35))),4)</f>
        <v>1.6415999999999999</v>
      </c>
      <c r="Y5" s="2391">
        <f>ROUND(IF(项目基本情况!B2="出让",SUMPRODUCT(PRODUCT(1+O5:O$36)),SUMPRODUCT(PRODUCT(1+O5:O$35))),4)</f>
        <v>1.3644000000000001</v>
      </c>
      <c r="Z5" s="2391">
        <f t="shared" ref="Z5" si="11">Y5</f>
        <v>1.3644000000000001</v>
      </c>
      <c r="AA5" s="2391">
        <f>ROUND(IF(项目基本情况!B2="出让",SUMPRODUCT(PRODUCT(1+P5:P$36)),SUMPRODUCT(PRODUCT(1+P5:P$35))),4)</f>
        <v>1.7232000000000001</v>
      </c>
      <c r="AB5" s="2391">
        <f>ROUND(IF(项目基本情况!B2="出让",SUMPRODUCT(PRODUCT(1+Q5:Q$36)),SUMPRODUCT(PRODUCT(1+Q5:Q$35))),4)</f>
        <v>1.4529000000000001</v>
      </c>
      <c r="AD5" s="2392">
        <f>ROUND(AVERAGE(I5:I$36)/100,4)</f>
        <v>1.66E-2</v>
      </c>
      <c r="AE5" s="2392">
        <f>ROUND(AVERAGE(J5:J$36)/100,4)</f>
        <v>1.0500000000000001E-2</v>
      </c>
      <c r="AF5" s="2392">
        <f t="shared" ref="AF5" si="12">AE5</f>
        <v>1.0500000000000001E-2</v>
      </c>
      <c r="AG5" s="2392">
        <f>ROUND(AVERAGE(K5:K$36)/100,4)</f>
        <v>1.83E-2</v>
      </c>
      <c r="AH5" s="2392">
        <f>ROUND(AVERAGE(L5:L$36)/100,4)</f>
        <v>1.2200000000000001E-2</v>
      </c>
    </row>
    <row r="6" spans="1:34" s="2400" customFormat="1">
      <c r="A6" s="2393" t="s">
        <v>3004</v>
      </c>
      <c r="B6" s="2394">
        <f t="shared" ref="B6" si="13">B7*(1+N6)</f>
        <v>504.87072809615569</v>
      </c>
      <c r="C6" s="2394">
        <f t="shared" ref="C6" si="14">C7*(1+O6)</f>
        <v>351.71182348101968</v>
      </c>
      <c r="D6" s="2394">
        <f t="shared" ref="D6" si="15">C6</f>
        <v>351.71182348101968</v>
      </c>
      <c r="E6" s="2394">
        <f t="shared" ref="E6" si="16">E7*(1+P6)</f>
        <v>728.75350858360832</v>
      </c>
      <c r="F6" s="2394">
        <f t="shared" ref="F6" si="17">F7*(1+Q6)</f>
        <v>334.04593931673656</v>
      </c>
      <c r="G6" s="3031">
        <v>2021</v>
      </c>
      <c r="H6" s="2395">
        <v>3</v>
      </c>
      <c r="I6" s="2357">
        <v>0.47</v>
      </c>
      <c r="J6" s="2357">
        <v>0.41</v>
      </c>
      <c r="K6" s="2357">
        <v>0.48</v>
      </c>
      <c r="L6" s="2358">
        <v>0.48</v>
      </c>
      <c r="M6" s="2380"/>
      <c r="N6" s="2396">
        <f t="shared" ref="N6" si="18">I6/100</f>
        <v>4.6999999999999993E-3</v>
      </c>
      <c r="O6" s="2381">
        <f t="shared" ref="O6" si="19">J6/100</f>
        <v>4.0999999999999995E-3</v>
      </c>
      <c r="P6" s="2381">
        <f t="shared" ref="P6" si="20">K6/100</f>
        <v>4.7999999999999996E-3</v>
      </c>
      <c r="Q6" s="2381">
        <f t="shared" ref="Q6" si="21">L6/100</f>
        <v>4.7999999999999996E-3</v>
      </c>
      <c r="R6" s="2397"/>
      <c r="S6" s="2396"/>
      <c r="T6" s="2381"/>
      <c r="U6" s="2381"/>
      <c r="V6" s="2381"/>
      <c r="W6" s="2398"/>
      <c r="X6" s="2398">
        <f>ROUND(IF(项目基本情况!B3="出让",SUMPRODUCT(PRODUCT(1+N6:N$36)),SUMPRODUCT(PRODUCT(1+N6:N$35))),4)</f>
        <v>1.6415999999999999</v>
      </c>
      <c r="Y6" s="2398">
        <f>ROUND(IF(项目基本情况!B3="出让",SUMPRODUCT(PRODUCT(1+O6:O$36)),SUMPRODUCT(PRODUCT(1+O6:O$35))),4)</f>
        <v>1.3644000000000001</v>
      </c>
      <c r="Z6" s="2398">
        <f t="shared" ref="Z6" si="22">Y6</f>
        <v>1.3644000000000001</v>
      </c>
      <c r="AA6" s="2398">
        <f>ROUND(IF(项目基本情况!B3="出让",SUMPRODUCT(PRODUCT(1+P6:P$36)),SUMPRODUCT(PRODUCT(1+P6:P$35))),4)</f>
        <v>1.7232000000000001</v>
      </c>
      <c r="AB6" s="2398">
        <f>ROUND(IF(项目基本情况!B3="出让",SUMPRODUCT(PRODUCT(1+Q6:Q$36)),SUMPRODUCT(PRODUCT(1+Q6:Q$35))),4)</f>
        <v>1.4529000000000001</v>
      </c>
      <c r="AC6" s="2398"/>
      <c r="AD6" s="2399">
        <f>ROUND(AVERAGE(I6:I$36)/100,4)</f>
        <v>1.72E-2</v>
      </c>
      <c r="AE6" s="2399">
        <f>ROUND(AVERAGE(J6:J$36)/100,4)</f>
        <v>1.09E-2</v>
      </c>
      <c r="AF6" s="2399">
        <f t="shared" ref="AF6" si="23">AE6</f>
        <v>1.09E-2</v>
      </c>
      <c r="AG6" s="2399">
        <f>ROUND(AVERAGE(K6:K$36)/100,4)</f>
        <v>1.89E-2</v>
      </c>
      <c r="AH6" s="2399">
        <f>ROUND(AVERAGE(L6:L$36)/100,4)</f>
        <v>1.26E-2</v>
      </c>
    </row>
    <row r="7" spans="1:34" s="2400" customFormat="1">
      <c r="A7" s="2393" t="s">
        <v>3003</v>
      </c>
      <c r="B7" s="2394">
        <f t="shared" ref="B7" si="24">B8*(1+N7)</f>
        <v>502.50893609650217</v>
      </c>
      <c r="C7" s="2394">
        <f t="shared" ref="C7" si="25">C8*(1+O7)</f>
        <v>350.27569313914915</v>
      </c>
      <c r="D7" s="2394">
        <f t="shared" ref="D7" si="26">C7</f>
        <v>350.27569313914915</v>
      </c>
      <c r="E7" s="2394">
        <f t="shared" ref="E7" si="27">E8*(1+P7)</f>
        <v>725.27220201394141</v>
      </c>
      <c r="F7" s="2394">
        <f t="shared" ref="F7" si="28">F8*(1+Q7)</f>
        <v>332.45017846012797</v>
      </c>
      <c r="G7" s="3030">
        <v>2021</v>
      </c>
      <c r="H7" s="2395">
        <v>2</v>
      </c>
      <c r="I7" s="2357">
        <v>0.92</v>
      </c>
      <c r="J7" s="2357">
        <v>0.72</v>
      </c>
      <c r="K7" s="2357">
        <v>0.95</v>
      </c>
      <c r="L7" s="2358">
        <v>1.01</v>
      </c>
      <c r="M7" s="2380"/>
      <c r="N7" s="2396">
        <f t="shared" ref="N7" si="29">I7/100</f>
        <v>9.1999999999999998E-3</v>
      </c>
      <c r="O7" s="2381">
        <f t="shared" ref="O7" si="30">J7/100</f>
        <v>7.1999999999999998E-3</v>
      </c>
      <c r="P7" s="2381">
        <f t="shared" ref="P7" si="31">K7/100</f>
        <v>9.4999999999999998E-3</v>
      </c>
      <c r="Q7" s="2381">
        <f t="shared" ref="Q7" si="32">L7/100</f>
        <v>1.01E-2</v>
      </c>
      <c r="R7" s="2397"/>
      <c r="S7" s="2396"/>
      <c r="T7" s="2381"/>
      <c r="U7" s="2381"/>
      <c r="V7" s="2381"/>
      <c r="W7" s="2398"/>
      <c r="X7" s="2398">
        <f>ROUND(IF(项目基本情况!B4="出让",SUMPRODUCT(PRODUCT(1+N7:N$36)),SUMPRODUCT(PRODUCT(1+N7:N$35))),4)</f>
        <v>1.6338999999999999</v>
      </c>
      <c r="Y7" s="2398">
        <f>ROUND(IF(项目基本情况!B4="出让",SUMPRODUCT(PRODUCT(1+O7:O$36)),SUMPRODUCT(PRODUCT(1+O7:O$35))),4)</f>
        <v>1.3588</v>
      </c>
      <c r="Z7" s="2398">
        <f t="shared" ref="Z7" si="33">Y7</f>
        <v>1.3588</v>
      </c>
      <c r="AA7" s="2398">
        <f>ROUND(IF(项目基本情况!B4="出让",SUMPRODUCT(PRODUCT(1+P7:P$36)),SUMPRODUCT(PRODUCT(1+P7:P$35))),4)</f>
        <v>1.7150000000000001</v>
      </c>
      <c r="AB7" s="2398">
        <f>ROUND(IF(项目基本情况!B4="出让",SUMPRODUCT(PRODUCT(1+Q7:Q$36)),SUMPRODUCT(PRODUCT(1+Q7:Q$35))),4)</f>
        <v>1.446</v>
      </c>
      <c r="AC7" s="2398"/>
      <c r="AD7" s="2399">
        <f>ROUND(AVERAGE(I7:I$36)/100,4)</f>
        <v>1.7600000000000001E-2</v>
      </c>
      <c r="AE7" s="2399">
        <f>ROUND(AVERAGE(J7:J$36)/100,4)</f>
        <v>1.11E-2</v>
      </c>
      <c r="AF7" s="2399">
        <f t="shared" ref="AF7" si="34">AE7</f>
        <v>1.11E-2</v>
      </c>
      <c r="AG7" s="2399">
        <f>ROUND(AVERAGE(K7:K$36)/100,4)</f>
        <v>1.9400000000000001E-2</v>
      </c>
      <c r="AH7" s="2399">
        <f>ROUND(AVERAGE(L7:L$36)/100,4)</f>
        <v>1.2800000000000001E-2</v>
      </c>
    </row>
    <row r="8" spans="1:34" s="2400" customFormat="1">
      <c r="A8" s="2393" t="s">
        <v>3002</v>
      </c>
      <c r="B8" s="2394">
        <f t="shared" ref="B8" si="35">B9*(1+N8)</f>
        <v>497.92799851020823</v>
      </c>
      <c r="C8" s="2394">
        <f t="shared" ref="C8" si="36">C9*(1+O8)</f>
        <v>347.77173663537445</v>
      </c>
      <c r="D8" s="2394">
        <f t="shared" ref="D8" si="37">C8</f>
        <v>347.77173663537445</v>
      </c>
      <c r="E8" s="2394">
        <f t="shared" ref="E8" si="38">E9*(1+P8)</f>
        <v>718.44695593258189</v>
      </c>
      <c r="F8" s="2394">
        <f t="shared" ref="F8" si="39">F9*(1+Q8)</f>
        <v>329.12600580153247</v>
      </c>
      <c r="G8" s="3014">
        <v>2021</v>
      </c>
      <c r="H8" s="2395">
        <v>1</v>
      </c>
      <c r="I8" s="2357">
        <v>0.97</v>
      </c>
      <c r="J8" s="2357">
        <v>0.16</v>
      </c>
      <c r="K8" s="2357">
        <v>1.1100000000000001</v>
      </c>
      <c r="L8" s="2358">
        <v>0.36</v>
      </c>
      <c r="M8" s="2380"/>
      <c r="N8" s="2396">
        <f t="shared" ref="N8" si="40">I8/100</f>
        <v>9.7000000000000003E-3</v>
      </c>
      <c r="O8" s="2381">
        <f t="shared" ref="O8" si="41">J8/100</f>
        <v>1.6000000000000001E-3</v>
      </c>
      <c r="P8" s="2381">
        <f t="shared" ref="P8" si="42">K8/100</f>
        <v>1.11E-2</v>
      </c>
      <c r="Q8" s="2381">
        <f t="shared" ref="Q8" si="43">L8/100</f>
        <v>3.5999999999999999E-3</v>
      </c>
      <c r="R8" s="2397"/>
      <c r="S8" s="2396">
        <f>B8/B9-1</f>
        <v>9.7000000000000419E-3</v>
      </c>
      <c r="T8" s="2381">
        <f t="shared" ref="T8" si="44">C8/C9-1</f>
        <v>1.6000000000000458E-3</v>
      </c>
      <c r="U8" s="2381">
        <f t="shared" ref="U8" si="45">D8/D9-1</f>
        <v>1.6000000000000458E-3</v>
      </c>
      <c r="V8" s="2381">
        <f t="shared" ref="V8" si="46">E8/E9-1</f>
        <v>1.110000000000011E-2</v>
      </c>
      <c r="W8" s="2398"/>
      <c r="X8" s="2398">
        <f>ROUND(IF(项目基本情况!B5="出让",SUMPRODUCT(PRODUCT(1+N8:N$36)),SUMPRODUCT(PRODUCT(1+N8:N$35))),4)</f>
        <v>1.619</v>
      </c>
      <c r="Y8" s="2398">
        <f>ROUND(IF(项目基本情况!B5="出让",SUMPRODUCT(PRODUCT(1+O8:O$36)),SUMPRODUCT(PRODUCT(1+O8:O$35))),4)</f>
        <v>1.3491</v>
      </c>
      <c r="Z8" s="2398">
        <f t="shared" ref="Z8" si="47">Y8</f>
        <v>1.3491</v>
      </c>
      <c r="AA8" s="2398">
        <f>ROUND(IF(项目基本情况!B5="出让",SUMPRODUCT(PRODUCT(1+P8:P$36)),SUMPRODUCT(PRODUCT(1+P8:P$35))),4)</f>
        <v>1.6988000000000001</v>
      </c>
      <c r="AB8" s="2398">
        <f>ROUND(IF(项目基本情况!B5="出让",SUMPRODUCT(PRODUCT(1+Q8:Q$36)),SUMPRODUCT(PRODUCT(1+Q8:Q$35))),4)</f>
        <v>1.4315</v>
      </c>
      <c r="AC8" s="2398"/>
      <c r="AD8" s="2399">
        <f>ROUND(AVERAGE(I8:I$36)/100,4)</f>
        <v>1.7899999999999999E-2</v>
      </c>
      <c r="AE8" s="2399">
        <f>ROUND(AVERAGE(J8:J$36)/100,4)</f>
        <v>1.12E-2</v>
      </c>
      <c r="AF8" s="2399">
        <f t="shared" ref="AF8" si="48">AE8</f>
        <v>1.12E-2</v>
      </c>
      <c r="AG8" s="2399">
        <f>ROUND(AVERAGE(K8:K$36)/100,4)</f>
        <v>1.9699999999999999E-2</v>
      </c>
      <c r="AH8" s="2399">
        <f>ROUND(AVERAGE(L8:L$36)/100,4)</f>
        <v>1.29E-2</v>
      </c>
    </row>
    <row r="9" spans="1:34" s="2400" customFormat="1">
      <c r="A9" s="2393" t="s">
        <v>3000</v>
      </c>
      <c r="B9" s="2394">
        <f t="shared" ref="B9" si="49">B10*(1+N9)</f>
        <v>493.14449689037161</v>
      </c>
      <c r="C9" s="2394">
        <f t="shared" ref="C9" si="50">C10*(1+O9)</f>
        <v>347.21619073020611</v>
      </c>
      <c r="D9" s="2394">
        <f t="shared" ref="D9" si="51">C9</f>
        <v>347.21619073020611</v>
      </c>
      <c r="E9" s="2394">
        <f t="shared" ref="E9" si="52">E10*(1+P9)</f>
        <v>710.55974278763904</v>
      </c>
      <c r="F9" s="2394">
        <f t="shared" ref="F9" si="53">F10*(1+Q9)</f>
        <v>327.94540235306141</v>
      </c>
      <c r="G9" s="3013">
        <v>2020</v>
      </c>
      <c r="H9" s="2395">
        <v>4</v>
      </c>
      <c r="I9" s="2357">
        <v>2.0699999999999998</v>
      </c>
      <c r="J9" s="2357">
        <v>0.37</v>
      </c>
      <c r="K9" s="2357">
        <v>2.35</v>
      </c>
      <c r="L9" s="2358">
        <v>2.69</v>
      </c>
      <c r="M9" s="2380"/>
      <c r="N9" s="2396">
        <f t="shared" ref="N9" si="54">I9/100</f>
        <v>2.07E-2</v>
      </c>
      <c r="O9" s="2381">
        <f t="shared" ref="O9" si="55">J9/100</f>
        <v>3.7000000000000002E-3</v>
      </c>
      <c r="P9" s="2381">
        <f t="shared" ref="P9" si="56">K9/100</f>
        <v>2.35E-2</v>
      </c>
      <c r="Q9" s="2381">
        <f t="shared" ref="Q9" si="57">L9/100</f>
        <v>2.69E-2</v>
      </c>
      <c r="R9" s="2397"/>
      <c r="S9" s="2396"/>
      <c r="T9" s="2381"/>
      <c r="U9" s="2381"/>
      <c r="V9" s="2381"/>
      <c r="W9" s="2398"/>
      <c r="X9" s="2398">
        <f>ROUND(IF(项目基本情况!B6="出让",SUMPRODUCT(PRODUCT(1+N9:N$36)),SUMPRODUCT(PRODUCT(1+N9:N$35))),4)</f>
        <v>1.6034999999999999</v>
      </c>
      <c r="Y9" s="2398">
        <f>ROUND(IF(项目基本情况!B6="出让",SUMPRODUCT(PRODUCT(1+O9:O$36)),SUMPRODUCT(PRODUCT(1+O9:O$35))),4)</f>
        <v>1.3469</v>
      </c>
      <c r="Z9" s="2398">
        <f t="shared" ref="Z9" si="58">Y9</f>
        <v>1.3469</v>
      </c>
      <c r="AA9" s="2398">
        <f>ROUND(IF(项目基本情况!B6="出让",SUMPRODUCT(PRODUCT(1+P9:P$36)),SUMPRODUCT(PRODUCT(1+P9:P$35))),4)</f>
        <v>1.6801999999999999</v>
      </c>
      <c r="AB9" s="2398">
        <f>ROUND(IF(项目基本情况!B6="出让",SUMPRODUCT(PRODUCT(1+Q9:Q$36)),SUMPRODUCT(PRODUCT(1+Q9:Q$35))),4)</f>
        <v>1.4263999999999999</v>
      </c>
      <c r="AC9" s="2398"/>
      <c r="AD9" s="2399">
        <f>ROUND(AVERAGE(I9:I$36)/100,4)</f>
        <v>1.8200000000000001E-2</v>
      </c>
      <c r="AE9" s="2399">
        <f>ROUND(AVERAGE(J9:J$36)/100,4)</f>
        <v>1.1599999999999999E-2</v>
      </c>
      <c r="AF9" s="2399">
        <f t="shared" ref="AF9" si="59">AE9</f>
        <v>1.1599999999999999E-2</v>
      </c>
      <c r="AG9" s="2399">
        <f>ROUND(AVERAGE(K9:K$36)/100,4)</f>
        <v>0.02</v>
      </c>
      <c r="AH9" s="2399">
        <f>ROUND(AVERAGE(L9:L$36)/100,4)</f>
        <v>1.3299999999999999E-2</v>
      </c>
    </row>
    <row r="10" spans="1:34" s="2400" customFormat="1">
      <c r="A10" s="2393" t="s">
        <v>2999</v>
      </c>
      <c r="B10" s="2394">
        <f t="shared" ref="B10" si="60">B11*(1+N10)</f>
        <v>483.1434279321756</v>
      </c>
      <c r="C10" s="2394">
        <f t="shared" ref="C10" si="61">C11*(1+O10)</f>
        <v>345.93622669144776</v>
      </c>
      <c r="D10" s="2394">
        <f t="shared" ref="D10" si="62">C10</f>
        <v>345.93622669144776</v>
      </c>
      <c r="E10" s="2394">
        <f t="shared" ref="E10" si="63">E11*(1+P10)</f>
        <v>694.24498562544113</v>
      </c>
      <c r="F10" s="2394">
        <f t="shared" ref="F10" si="64">F11*(1+Q10)</f>
        <v>319.35475932716082</v>
      </c>
      <c r="G10" s="3010">
        <v>2020</v>
      </c>
      <c r="H10" s="2395">
        <v>3</v>
      </c>
      <c r="I10" s="2357">
        <v>0.36</v>
      </c>
      <c r="J10" s="2357">
        <v>-0.39</v>
      </c>
      <c r="K10" s="2357">
        <v>0.49</v>
      </c>
      <c r="L10" s="2358">
        <v>7.0000000000000007E-2</v>
      </c>
      <c r="M10" s="2380"/>
      <c r="N10" s="2396">
        <f t="shared" ref="N10" si="65">I10/100</f>
        <v>3.5999999999999999E-3</v>
      </c>
      <c r="O10" s="2381">
        <f t="shared" ref="O10" si="66">J10/100</f>
        <v>-3.9000000000000003E-3</v>
      </c>
      <c r="P10" s="2381">
        <f t="shared" ref="P10" si="67">K10/100</f>
        <v>4.8999999999999998E-3</v>
      </c>
      <c r="Q10" s="2381">
        <f t="shared" ref="Q10" si="68">L10/100</f>
        <v>7.000000000000001E-4</v>
      </c>
      <c r="R10" s="2397"/>
      <c r="S10" s="2396"/>
      <c r="T10" s="2381"/>
      <c r="U10" s="2381"/>
      <c r="V10" s="2381"/>
      <c r="W10" s="2398"/>
      <c r="X10" s="2398">
        <f>ROUND(IF(项目基本情况!B7="出让",SUMPRODUCT(PRODUCT(1+N10:N$36)),SUMPRODUCT(PRODUCT(1+N10:N$35))),4)</f>
        <v>1.571</v>
      </c>
      <c r="Y10" s="2398">
        <f>ROUND(IF(项目基本情况!B7="出让",SUMPRODUCT(PRODUCT(1+O10:O$36)),SUMPRODUCT(PRODUCT(1+O10:O$35))),4)</f>
        <v>1.3420000000000001</v>
      </c>
      <c r="Z10" s="2398">
        <f t="shared" ref="Z10" si="69">Y10</f>
        <v>1.3420000000000001</v>
      </c>
      <c r="AA10" s="2398">
        <f>ROUND(IF(项目基本情况!B7="出让",SUMPRODUCT(PRODUCT(1+P10:P$36)),SUMPRODUCT(PRODUCT(1+P10:P$35))),4)</f>
        <v>1.6415999999999999</v>
      </c>
      <c r="AB10" s="2398">
        <f>ROUND(IF(项目基本情况!B7="出让",SUMPRODUCT(PRODUCT(1+Q10:Q$36)),SUMPRODUCT(PRODUCT(1+Q10:Q$35))),4)</f>
        <v>1.389</v>
      </c>
      <c r="AC10" s="2398"/>
      <c r="AD10" s="2399">
        <f>ROUND(AVERAGE(I10:I$36)/100,4)</f>
        <v>1.8100000000000002E-2</v>
      </c>
      <c r="AE10" s="2399">
        <f>ROUND(AVERAGE(J10:J$36)/100,4)</f>
        <v>1.1900000000000001E-2</v>
      </c>
      <c r="AF10" s="2399">
        <f t="shared" ref="AF10" si="70">AE10</f>
        <v>1.1900000000000001E-2</v>
      </c>
      <c r="AG10" s="2399">
        <f>ROUND(AVERAGE(K10:K$36)/100,4)</f>
        <v>1.9900000000000001E-2</v>
      </c>
      <c r="AH10" s="2399">
        <f>ROUND(AVERAGE(L10:L$36)/100,4)</f>
        <v>1.2800000000000001E-2</v>
      </c>
    </row>
    <row r="11" spans="1:34" s="2400" customFormat="1">
      <c r="A11" s="2393" t="s">
        <v>2813</v>
      </c>
      <c r="B11" s="2394">
        <f t="shared" ref="B11" si="71">B12*(1+N11)</f>
        <v>481.4103506697644</v>
      </c>
      <c r="C11" s="2394">
        <f t="shared" ref="C11" si="72">C12*(1+O11)</f>
        <v>347.29066026648707</v>
      </c>
      <c r="D11" s="2394">
        <f t="shared" ref="D11" si="73">C11</f>
        <v>347.29066026648707</v>
      </c>
      <c r="E11" s="2394">
        <f t="shared" ref="E11" si="74">E12*(1+P11)</f>
        <v>690.85977273901995</v>
      </c>
      <c r="F11" s="2394">
        <f t="shared" ref="F11" si="75">F12*(1+Q11)</f>
        <v>319.13136737000184</v>
      </c>
      <c r="G11" s="2384">
        <v>2020</v>
      </c>
      <c r="H11" s="2395">
        <v>2</v>
      </c>
      <c r="I11" s="2357">
        <v>0.31</v>
      </c>
      <c r="J11" s="2357">
        <v>-0.78</v>
      </c>
      <c r="K11" s="2357">
        <v>0.5</v>
      </c>
      <c r="L11" s="2358">
        <v>0.47</v>
      </c>
      <c r="M11" s="2380"/>
      <c r="N11" s="2396">
        <f t="shared" ref="N11" si="76">I11/100</f>
        <v>3.0999999999999999E-3</v>
      </c>
      <c r="O11" s="2381">
        <f t="shared" ref="O11" si="77">J11/100</f>
        <v>-7.8000000000000005E-3</v>
      </c>
      <c r="P11" s="2381">
        <f t="shared" ref="P11" si="78">K11/100</f>
        <v>5.0000000000000001E-3</v>
      </c>
      <c r="Q11" s="2381">
        <f t="shared" ref="Q11" si="79">L11/100</f>
        <v>4.6999999999999993E-3</v>
      </c>
      <c r="R11" s="2397"/>
      <c r="S11" s="2396"/>
      <c r="T11" s="2381"/>
      <c r="U11" s="2381"/>
      <c r="V11" s="2381"/>
      <c r="W11" s="2398"/>
      <c r="X11" s="2398">
        <f>ROUND(IF(项目基本情况!B8="出让",SUMPRODUCT(PRODUCT(1+N11:N$36)),SUMPRODUCT(PRODUCT(1+N11:N$35))),4)</f>
        <v>1.5652999999999999</v>
      </c>
      <c r="Y11" s="2398">
        <f>ROUND(IF(项目基本情况!B8="出让",SUMPRODUCT(PRODUCT(1+O11:O$36)),SUMPRODUCT(PRODUCT(1+O11:O$35))),4)</f>
        <v>1.3472</v>
      </c>
      <c r="Z11" s="2398">
        <f t="shared" ref="Z11" si="80">Y11</f>
        <v>1.3472</v>
      </c>
      <c r="AA11" s="2398">
        <f>ROUND(IF(项目基本情况!B8="出让",SUMPRODUCT(PRODUCT(1+P11:P$36)),SUMPRODUCT(PRODUCT(1+P11:P$35))),4)</f>
        <v>1.6335999999999999</v>
      </c>
      <c r="AB11" s="2398">
        <f>ROUND(IF(项目基本情况!B8="出让",SUMPRODUCT(PRODUCT(1+Q11:Q$36)),SUMPRODUCT(PRODUCT(1+Q11:Q$35))),4)</f>
        <v>1.3880999999999999</v>
      </c>
      <c r="AC11" s="2398"/>
      <c r="AD11" s="2399">
        <f>ROUND(AVERAGE(I11:I$36)/100,4)</f>
        <v>1.8599999999999998E-2</v>
      </c>
      <c r="AE11" s="2399">
        <f>ROUND(AVERAGE(J11:J$36)/100,4)</f>
        <v>1.2500000000000001E-2</v>
      </c>
      <c r="AF11" s="2399">
        <f t="shared" ref="AF11" si="81">AE11</f>
        <v>1.2500000000000001E-2</v>
      </c>
      <c r="AG11" s="2399">
        <f>ROUND(AVERAGE(K11:K$36)/100,4)</f>
        <v>2.0400000000000001E-2</v>
      </c>
      <c r="AH11" s="2399">
        <f>ROUND(AVERAGE(L11:L$36)/100,4)</f>
        <v>1.32E-2</v>
      </c>
    </row>
    <row r="12" spans="1:34" s="2400" customFormat="1">
      <c r="A12" s="2393" t="s">
        <v>2811</v>
      </c>
      <c r="B12" s="2394">
        <f t="shared" ref="B12" si="82">B13*(1+N12)</f>
        <v>479.92259063878413</v>
      </c>
      <c r="C12" s="2394">
        <f t="shared" ref="C12" si="83">C13*(1+O12)</f>
        <v>350.02082268341775</v>
      </c>
      <c r="D12" s="2394">
        <f t="shared" ref="D12" si="84">C12</f>
        <v>350.02082268341775</v>
      </c>
      <c r="E12" s="2394">
        <f t="shared" ref="E12" si="85">E13*(1+P12)</f>
        <v>687.42265944181099</v>
      </c>
      <c r="F12" s="2394">
        <f t="shared" ref="F12" si="86">F13*(1+Q12)</f>
        <v>317.63846657708956</v>
      </c>
      <c r="G12" s="2384">
        <v>2020</v>
      </c>
      <c r="H12" s="2395">
        <v>1</v>
      </c>
      <c r="I12" s="2357">
        <v>0.12</v>
      </c>
      <c r="J12" s="2357">
        <v>-0.4</v>
      </c>
      <c r="K12" s="2357">
        <v>0.21</v>
      </c>
      <c r="L12" s="2358">
        <v>0.27</v>
      </c>
      <c r="M12" s="2380"/>
      <c r="N12" s="2396">
        <f t="shared" ref="N12" si="87">I12/100</f>
        <v>1.1999999999999999E-3</v>
      </c>
      <c r="O12" s="2381">
        <f t="shared" ref="O12" si="88">J12/100</f>
        <v>-4.0000000000000001E-3</v>
      </c>
      <c r="P12" s="2381">
        <f t="shared" ref="P12" si="89">K12/100</f>
        <v>2.0999999999999999E-3</v>
      </c>
      <c r="Q12" s="2381">
        <f t="shared" ref="Q12" si="90">L12/100</f>
        <v>2.7000000000000001E-3</v>
      </c>
      <c r="R12" s="2397"/>
      <c r="S12" s="2396">
        <f>B12/B13-1</f>
        <v>1.2000000000000899E-3</v>
      </c>
      <c r="T12" s="2381">
        <f t="shared" ref="T12" si="91">C12/C13-1</f>
        <v>-4.0000000000000036E-3</v>
      </c>
      <c r="U12" s="2381">
        <f t="shared" ref="U12" si="92">D12/D13-1</f>
        <v>-4.0000000000000036E-3</v>
      </c>
      <c r="V12" s="2381">
        <f t="shared" ref="V12" si="93">E12/E13-1</f>
        <v>2.0999999999999908E-3</v>
      </c>
      <c r="W12" s="2398"/>
      <c r="X12" s="2398">
        <f>ROUND(IF(项目基本情况!B8="出让",SUMPRODUCT(PRODUCT(1+N12:N$36)),SUMPRODUCT(PRODUCT(1+N12:N$35))),4)</f>
        <v>1.5605</v>
      </c>
      <c r="Y12" s="2398">
        <f>ROUND(IF(项目基本情况!B8="出让",SUMPRODUCT(PRODUCT(1+O12:O$36)),SUMPRODUCT(PRODUCT(1+O12:O$35))),4)</f>
        <v>1.3577999999999999</v>
      </c>
      <c r="Z12" s="2398">
        <f t="shared" ref="Z12" si="94">Y12</f>
        <v>1.3577999999999999</v>
      </c>
      <c r="AA12" s="2398">
        <f>ROUND(IF(项目基本情况!B8="出让",SUMPRODUCT(PRODUCT(1+P12:P$36)),SUMPRODUCT(PRODUCT(1+P12:P$35))),4)</f>
        <v>1.6254999999999999</v>
      </c>
      <c r="AB12" s="2398">
        <f>ROUND(IF(项目基本情况!B8="出让",SUMPRODUCT(PRODUCT(1+Q12:Q$36)),SUMPRODUCT(PRODUCT(1+Q12:Q$35))),4)</f>
        <v>1.3815999999999999</v>
      </c>
      <c r="AC12" s="2398"/>
      <c r="AD12" s="2399">
        <f>ROUND(AVERAGE(I12:I$36)/100,4)</f>
        <v>1.9199999999999998E-2</v>
      </c>
      <c r="AE12" s="2399">
        <f>ROUND(AVERAGE(J12:J$36)/100,4)</f>
        <v>1.3299999999999999E-2</v>
      </c>
      <c r="AF12" s="2399">
        <f t="shared" ref="AF12" si="95">AE12</f>
        <v>1.3299999999999999E-2</v>
      </c>
      <c r="AG12" s="2399">
        <f>ROUND(AVERAGE(K12:K$36)/100,4)</f>
        <v>2.1100000000000001E-2</v>
      </c>
      <c r="AH12" s="2399">
        <f>ROUND(AVERAGE(L12:L$36)/100,4)</f>
        <v>1.3599999999999999E-2</v>
      </c>
    </row>
    <row r="13" spans="1:34" s="2400" customFormat="1">
      <c r="A13" s="2393" t="s">
        <v>2810</v>
      </c>
      <c r="B13" s="2394">
        <f t="shared" ref="B13" si="96">B14*(1+N13)</f>
        <v>479.34737379023579</v>
      </c>
      <c r="C13" s="2394">
        <f t="shared" ref="C13" si="97">C14*(1+O13)</f>
        <v>351.4265287986122</v>
      </c>
      <c r="D13" s="2394">
        <f t="shared" ref="D13" si="98">C13</f>
        <v>351.4265287986122</v>
      </c>
      <c r="E13" s="2394">
        <f t="shared" ref="E13" si="99">E14*(1+P13)</f>
        <v>685.98209703803116</v>
      </c>
      <c r="F13" s="2394">
        <f t="shared" ref="F13" si="100">F14*(1+Q13)</f>
        <v>316.78315206651001</v>
      </c>
      <c r="G13" s="2384">
        <v>2019</v>
      </c>
      <c r="H13" s="2395">
        <v>4</v>
      </c>
      <c r="I13" s="2395">
        <v>0.45</v>
      </c>
      <c r="J13" s="2395">
        <v>-0.12</v>
      </c>
      <c r="K13" s="2395">
        <v>0.54</v>
      </c>
      <c r="L13" s="2401">
        <v>0.48</v>
      </c>
      <c r="M13" s="2380"/>
      <c r="N13" s="2396">
        <f t="shared" ref="N13:N18" si="101">I13/100</f>
        <v>4.5000000000000005E-3</v>
      </c>
      <c r="O13" s="2381">
        <f t="shared" ref="O13" si="102">J13/100</f>
        <v>-1.1999999999999999E-3</v>
      </c>
      <c r="P13" s="2381">
        <f t="shared" ref="P13" si="103">K13/100</f>
        <v>5.4000000000000003E-3</v>
      </c>
      <c r="Q13" s="2381">
        <f t="shared" ref="Q13" si="104">L13/100</f>
        <v>4.7999999999999996E-3</v>
      </c>
      <c r="R13" s="2397"/>
      <c r="S13" s="2396"/>
      <c r="T13" s="2381"/>
      <c r="U13" s="2381"/>
      <c r="V13" s="2381"/>
      <c r="W13" s="2398"/>
      <c r="X13" s="2398">
        <f>ROUND(IF(项目基本情况!B8="出让",SUMPRODUCT(PRODUCT(1+N13:N$36)),SUMPRODUCT(PRODUCT(1+N13:N$35))),4)</f>
        <v>1.5586</v>
      </c>
      <c r="Y13" s="2398">
        <f>ROUND(IF(项目基本情况!B8="出让",SUMPRODUCT(PRODUCT(1+O13:O$36)),SUMPRODUCT(PRODUCT(1+O13:O$35))),4)</f>
        <v>1.3633</v>
      </c>
      <c r="Z13" s="2398">
        <f t="shared" ref="Z13" si="105">Y13</f>
        <v>1.3633</v>
      </c>
      <c r="AA13" s="2398">
        <f>ROUND(IF(项目基本情况!B8="出让",SUMPRODUCT(PRODUCT(1+P13:P$36)),SUMPRODUCT(PRODUCT(1+P13:P$35))),4)</f>
        <v>1.6221000000000001</v>
      </c>
      <c r="AB13" s="2398">
        <f>ROUND(IF(项目基本情况!B8="出让",SUMPRODUCT(PRODUCT(1+Q13:Q$36)),SUMPRODUCT(PRODUCT(1+Q13:Q$35))),4)</f>
        <v>1.3777999999999999</v>
      </c>
      <c r="AC13" s="2398"/>
      <c r="AD13" s="2399">
        <f>ROUND(AVERAGE(I13:I$36)/100,4)</f>
        <v>0.02</v>
      </c>
      <c r="AE13" s="2399">
        <f>ROUND(AVERAGE(J13:J$36)/100,4)</f>
        <v>1.4E-2</v>
      </c>
      <c r="AF13" s="2399">
        <f t="shared" ref="AF13" si="106">AE13</f>
        <v>1.4E-2</v>
      </c>
      <c r="AG13" s="2399">
        <f>ROUND(AVERAGE(K13:K$36)/100,4)</f>
        <v>2.1899999999999999E-2</v>
      </c>
      <c r="AH13" s="2399">
        <f>ROUND(AVERAGE(L13:L$36)/100,4)</f>
        <v>1.4E-2</v>
      </c>
    </row>
    <row r="14" spans="1:34" s="2400" customFormat="1" ht="13.5" thickBot="1">
      <c r="A14" s="2393" t="s">
        <v>2809</v>
      </c>
      <c r="B14" s="2394">
        <f t="shared" ref="B14" si="107">B15*(1+N14)</f>
        <v>477.19997390765138</v>
      </c>
      <c r="C14" s="2394">
        <f t="shared" ref="C14" si="108">C15*(1+O14)</f>
        <v>351.84874729536665</v>
      </c>
      <c r="D14" s="2394">
        <f t="shared" ref="D14" si="109">C14</f>
        <v>351.84874729536665</v>
      </c>
      <c r="E14" s="2394">
        <f t="shared" ref="E14" si="110">E15*(1+P14)</f>
        <v>682.29768951465201</v>
      </c>
      <c r="F14" s="2394">
        <f t="shared" ref="F14" si="111">F15*(1+Q14)</f>
        <v>315.26985675409043</v>
      </c>
      <c r="G14" s="2384">
        <v>2019</v>
      </c>
      <c r="H14" s="2395">
        <v>3</v>
      </c>
      <c r="I14" s="2395">
        <v>0.61</v>
      </c>
      <c r="J14" s="2395">
        <v>0.67</v>
      </c>
      <c r="K14" s="2395">
        <v>0.6</v>
      </c>
      <c r="L14" s="2401">
        <v>1.03</v>
      </c>
      <c r="M14" s="2380"/>
      <c r="N14" s="2396">
        <f t="shared" si="101"/>
        <v>6.0999999999999995E-3</v>
      </c>
      <c r="O14" s="2381">
        <f t="shared" ref="O14" si="112">J14/100</f>
        <v>6.7000000000000002E-3</v>
      </c>
      <c r="P14" s="2381">
        <f t="shared" ref="P14" si="113">K14/100</f>
        <v>6.0000000000000001E-3</v>
      </c>
      <c r="Q14" s="2381">
        <f t="shared" ref="Q14" si="114">L14/100</f>
        <v>1.03E-2</v>
      </c>
      <c r="R14" s="2397"/>
      <c r="S14" s="2396"/>
      <c r="T14" s="2381"/>
      <c r="U14" s="2381"/>
      <c r="V14" s="2381"/>
      <c r="W14" s="2398"/>
      <c r="X14" s="2398">
        <f>ROUND(IF(项目基本情况!B8="出让",SUMPRODUCT(PRODUCT(1+N14:N$36)),SUMPRODUCT(PRODUCT(1+N14:N$35))),4)</f>
        <v>1.5516000000000001</v>
      </c>
      <c r="Y14" s="2398">
        <f>ROUND(IF(项目基本情况!B8="出让",SUMPRODUCT(PRODUCT(1+O14:O$36)),SUMPRODUCT(PRODUCT(1+O14:O$35))),4)</f>
        <v>1.3649</v>
      </c>
      <c r="Z14" s="2398">
        <f t="shared" ref="Z14" si="115">Y14</f>
        <v>1.3649</v>
      </c>
      <c r="AA14" s="2398">
        <f>ROUND(IF(项目基本情况!B8="出让",SUMPRODUCT(PRODUCT(1+P14:P$36)),SUMPRODUCT(PRODUCT(1+P14:P$35))),4)</f>
        <v>1.6133999999999999</v>
      </c>
      <c r="AB14" s="2398">
        <f>ROUND(IF(项目基本情况!B8="出让",SUMPRODUCT(PRODUCT(1+Q14:Q$36)),SUMPRODUCT(PRODUCT(1+Q14:Q$35))),4)</f>
        <v>1.3713</v>
      </c>
      <c r="AC14" s="2398"/>
      <c r="AD14" s="2399">
        <f>ROUND(AVERAGE(I14:I$36)/100,4)</f>
        <v>2.07E-2</v>
      </c>
      <c r="AE14" s="2399">
        <f>ROUND(AVERAGE(J14:J$36)/100,4)</f>
        <v>1.47E-2</v>
      </c>
      <c r="AF14" s="2399">
        <f t="shared" ref="AF14" si="116">AE14</f>
        <v>1.47E-2</v>
      </c>
      <c r="AG14" s="2399">
        <f>ROUND(AVERAGE(K14:K$36)/100,4)</f>
        <v>2.2599999999999999E-2</v>
      </c>
      <c r="AH14" s="2399">
        <f>ROUND(AVERAGE(L14:L$36)/100,4)</f>
        <v>1.44E-2</v>
      </c>
    </row>
    <row r="15" spans="1:34" s="2400" customFormat="1">
      <c r="A15" s="2393" t="s">
        <v>2807</v>
      </c>
      <c r="B15" s="2394">
        <f t="shared" ref="B15" si="117">B16*(1+N15)</f>
        <v>474.30670301923408</v>
      </c>
      <c r="C15" s="2394">
        <f t="shared" ref="C15" si="118">C16*(1+O15)</f>
        <v>349.50705005996491</v>
      </c>
      <c r="D15" s="2394">
        <f t="shared" ref="D15" si="119">C15</f>
        <v>349.50705005996491</v>
      </c>
      <c r="E15" s="2394">
        <f t="shared" ref="E15" si="120">E16*(1+P15)</f>
        <v>678.22831959706957</v>
      </c>
      <c r="F15" s="2394">
        <f t="shared" ref="F15" si="121">F16*(1+Q15)</f>
        <v>312.0556832169558</v>
      </c>
      <c r="G15" s="2384">
        <v>2019</v>
      </c>
      <c r="H15" s="2402">
        <v>2</v>
      </c>
      <c r="I15" s="2402">
        <v>1.53</v>
      </c>
      <c r="J15" s="2402">
        <v>1.01</v>
      </c>
      <c r="K15" s="2402">
        <v>1.62</v>
      </c>
      <c r="L15" s="2403">
        <v>1.25</v>
      </c>
      <c r="M15" s="2380"/>
      <c r="N15" s="2396">
        <f t="shared" si="101"/>
        <v>1.5300000000000001E-2</v>
      </c>
      <c r="O15" s="2381">
        <f t="shared" ref="O15" si="122">J15/100</f>
        <v>1.01E-2</v>
      </c>
      <c r="P15" s="2381">
        <f t="shared" ref="P15" si="123">K15/100</f>
        <v>1.6200000000000003E-2</v>
      </c>
      <c r="Q15" s="2381">
        <f t="shared" ref="Q15" si="124">L15/100</f>
        <v>1.2500000000000001E-2</v>
      </c>
      <c r="R15" s="2397"/>
      <c r="S15" s="2396"/>
      <c r="T15" s="2381"/>
      <c r="U15" s="2381"/>
      <c r="V15" s="2381"/>
      <c r="W15" s="2398"/>
      <c r="X15" s="2398">
        <f>ROUND(IF(项目基本情况!B8="出让",SUMPRODUCT(PRODUCT(1+N15:N$36)),SUMPRODUCT(PRODUCT(1+N15:N$35))),4)</f>
        <v>1.5422</v>
      </c>
      <c r="Y15" s="2398">
        <f>ROUND(IF(项目基本情况!B8="出让",SUMPRODUCT(PRODUCT(1+O15:O$36)),SUMPRODUCT(PRODUCT(1+O15:O$35))),4)</f>
        <v>1.3557999999999999</v>
      </c>
      <c r="Z15" s="2398">
        <f t="shared" ref="Z15" si="125">Y15</f>
        <v>1.3557999999999999</v>
      </c>
      <c r="AA15" s="2398">
        <f>ROUND(IF(项目基本情况!B8="出让",SUMPRODUCT(PRODUCT(1+P15:P$36)),SUMPRODUCT(PRODUCT(1+P15:P$35))),4)</f>
        <v>1.6036999999999999</v>
      </c>
      <c r="AB15" s="2398">
        <f>ROUND(IF(项目基本情况!B8="出让",SUMPRODUCT(PRODUCT(1+Q15:Q$36)),SUMPRODUCT(PRODUCT(1+Q15:Q$35))),4)</f>
        <v>1.3573</v>
      </c>
      <c r="AC15" s="2398"/>
      <c r="AD15" s="2399">
        <f>ROUND(AVERAGE(I15:I$36)/100,4)</f>
        <v>2.1299999999999999E-2</v>
      </c>
      <c r="AE15" s="2399">
        <f>ROUND(AVERAGE(J15:J$36)/100,4)</f>
        <v>1.4999999999999999E-2</v>
      </c>
      <c r="AF15" s="2399">
        <f t="shared" ref="AF15" si="126">AE15</f>
        <v>1.4999999999999999E-2</v>
      </c>
      <c r="AG15" s="2399">
        <f>ROUND(AVERAGE(K15:K$36)/100,4)</f>
        <v>2.3300000000000001E-2</v>
      </c>
      <c r="AH15" s="2399">
        <f>ROUND(AVERAGE(L15:L$36)/100,4)</f>
        <v>1.46E-2</v>
      </c>
    </row>
    <row r="16" spans="1:34" s="2400" customFormat="1" ht="13.5" thickBot="1">
      <c r="A16" s="2393" t="s">
        <v>2805</v>
      </c>
      <c r="B16" s="2394">
        <f t="shared" ref="B16" si="127">B17*(1+N16)</f>
        <v>467.15916775261894</v>
      </c>
      <c r="C16" s="2394">
        <f t="shared" ref="C16" si="128">C17*(1+O16)</f>
        <v>346.01232557169084</v>
      </c>
      <c r="D16" s="2394">
        <f t="shared" ref="D16" si="129">C16</f>
        <v>346.01232557169084</v>
      </c>
      <c r="E16" s="2394">
        <f t="shared" ref="E16" si="130">E17*(1+P16)</f>
        <v>667.41617752122568</v>
      </c>
      <c r="F16" s="2394">
        <f t="shared" ref="F16" si="131">F17*(1+Q16)</f>
        <v>308.20314391798104</v>
      </c>
      <c r="G16" s="2384">
        <v>2019</v>
      </c>
      <c r="H16" s="2395">
        <v>1</v>
      </c>
      <c r="I16" s="2395">
        <v>0.6</v>
      </c>
      <c r="J16" s="2395">
        <v>0.37</v>
      </c>
      <c r="K16" s="2395">
        <v>0.63</v>
      </c>
      <c r="L16" s="2401">
        <v>1.1299999999999999</v>
      </c>
      <c r="M16" s="2380"/>
      <c r="N16" s="2396">
        <f t="shared" si="101"/>
        <v>6.0000000000000001E-3</v>
      </c>
      <c r="O16" s="2381">
        <f t="shared" ref="O16" si="132">J16/100</f>
        <v>3.7000000000000002E-3</v>
      </c>
      <c r="P16" s="2381">
        <f t="shared" ref="P16" si="133">K16/100</f>
        <v>6.3E-3</v>
      </c>
      <c r="Q16" s="2381">
        <f t="shared" ref="Q16" si="134">L16/100</f>
        <v>1.1299999999999999E-2</v>
      </c>
      <c r="R16" s="2397"/>
      <c r="S16" s="2396">
        <f>B16/B17-1</f>
        <v>6.0000000000000053E-3</v>
      </c>
      <c r="T16" s="2381">
        <f t="shared" ref="T16" si="135">C16/C17-1</f>
        <v>3.7000000000000366E-3</v>
      </c>
      <c r="U16" s="2381">
        <f t="shared" ref="U16" si="136">D16/D17-1</f>
        <v>3.7000000000000366E-3</v>
      </c>
      <c r="V16" s="2381">
        <f t="shared" ref="V16" si="137">E16/E17-1</f>
        <v>6.2999999999999723E-3</v>
      </c>
      <c r="W16" s="2398"/>
      <c r="X16" s="2398">
        <f>ROUND(IF(项目基本情况!B8="出让",SUMPRODUCT(PRODUCT(1+N16:N$36)),SUMPRODUCT(PRODUCT(1+N16:N$35))),4)</f>
        <v>1.5189999999999999</v>
      </c>
      <c r="Y16" s="2398">
        <f>ROUND(IF(项目基本情况!B8="出让",SUMPRODUCT(PRODUCT(1+O16:O$36)),SUMPRODUCT(PRODUCT(1+O16:O$35))),4)</f>
        <v>1.3423</v>
      </c>
      <c r="Z16" s="2398">
        <f t="shared" ref="Z16" si="138">Y16</f>
        <v>1.3423</v>
      </c>
      <c r="AA16" s="2398">
        <f>ROUND(IF(项目基本情况!B8="出让",SUMPRODUCT(PRODUCT(1+P16:P$36)),SUMPRODUCT(PRODUCT(1+P16:P$35))),4)</f>
        <v>1.5782</v>
      </c>
      <c r="AB16" s="2398">
        <f>ROUND(IF(项目基本情况!B8="出让",SUMPRODUCT(PRODUCT(1+Q16:Q$36)),SUMPRODUCT(PRODUCT(1+Q16:Q$35))),4)</f>
        <v>1.3405</v>
      </c>
      <c r="AC16" s="2398"/>
      <c r="AD16" s="2399">
        <f>ROUND(AVERAGE(I16:I$36)/100,4)</f>
        <v>2.1600000000000001E-2</v>
      </c>
      <c r="AE16" s="2399">
        <f>ROUND(AVERAGE(J16:J$36)/100,4)</f>
        <v>1.5299999999999999E-2</v>
      </c>
      <c r="AF16" s="2399">
        <f t="shared" ref="AF16" si="139">AE16</f>
        <v>1.5299999999999999E-2</v>
      </c>
      <c r="AG16" s="2399">
        <f>ROUND(AVERAGE(K16:K$36)/100,4)</f>
        <v>2.3699999999999999E-2</v>
      </c>
      <c r="AH16" s="2399">
        <f>ROUND(AVERAGE(L16:L$36)/100,4)</f>
        <v>1.47E-2</v>
      </c>
    </row>
    <row r="17" spans="1:34" s="2400" customFormat="1">
      <c r="A17" s="2393" t="s">
        <v>2808</v>
      </c>
      <c r="B17" s="2404">
        <f t="shared" ref="B17" si="140">B18*(1+N17)</f>
        <v>464.37293017158942</v>
      </c>
      <c r="C17" s="2404">
        <f t="shared" ref="C17" si="141">C18*(1+O17)</f>
        <v>344.73679941385956</v>
      </c>
      <c r="D17" s="2404">
        <f t="shared" ref="D17" si="142">C17</f>
        <v>344.73679941385956</v>
      </c>
      <c r="E17" s="2404">
        <f t="shared" ref="E17" si="143">E18*(1+P17)</f>
        <v>663.2377795103107</v>
      </c>
      <c r="F17" s="2405">
        <f t="shared" ref="F17" si="144">F18*(1+Q17)</f>
        <v>304.75936311478398</v>
      </c>
      <c r="G17" s="3695">
        <v>2018</v>
      </c>
      <c r="H17" s="2402">
        <v>4</v>
      </c>
      <c r="I17" s="2402">
        <v>0.96</v>
      </c>
      <c r="J17" s="2402">
        <v>1.03</v>
      </c>
      <c r="K17" s="2402">
        <v>0.92</v>
      </c>
      <c r="L17" s="2403">
        <v>1.29</v>
      </c>
      <c r="M17" s="2380"/>
      <c r="N17" s="2396">
        <f t="shared" si="101"/>
        <v>9.5999999999999992E-3</v>
      </c>
      <c r="O17" s="2381">
        <f t="shared" ref="O17" si="145">J17/100</f>
        <v>1.03E-2</v>
      </c>
      <c r="P17" s="2381">
        <f t="shared" ref="P17" si="146">K17/100</f>
        <v>9.1999999999999998E-3</v>
      </c>
      <c r="Q17" s="2381">
        <f t="shared" ref="Q17" si="147">L17/100</f>
        <v>1.29E-2</v>
      </c>
      <c r="R17" s="2397"/>
      <c r="S17" s="2396"/>
      <c r="T17" s="2381"/>
      <c r="U17" s="2381"/>
      <c r="V17" s="2381"/>
      <c r="W17" s="2398"/>
      <c r="X17" s="2398">
        <f>ROUND(SUMPRODUCT(PRODUCT(1+N17:N$35)),4)</f>
        <v>1.5099</v>
      </c>
      <c r="Y17" s="2398">
        <f>ROUND(SUMPRODUCT(PRODUCT(1+O17:O$35)),4)</f>
        <v>1.3372999999999999</v>
      </c>
      <c r="Z17" s="2398">
        <f t="shared" ref="Z17" si="148">Y17</f>
        <v>1.3372999999999999</v>
      </c>
      <c r="AA17" s="2398">
        <f>ROUND(SUMPRODUCT(PRODUCT(1+P17:P$35)),4)</f>
        <v>1.5683</v>
      </c>
      <c r="AB17" s="2398">
        <f>ROUND(SUMPRODUCT(PRODUCT(1+Q17:Q$35)),4)</f>
        <v>1.3255999999999999</v>
      </c>
      <c r="AC17" s="2398"/>
      <c r="AD17" s="2399">
        <f>ROUND(AVERAGE(I17:I$36)/100,4)</f>
        <v>2.24E-2</v>
      </c>
      <c r="AE17" s="2399">
        <f>ROUND(AVERAGE(J17:J$36)/100,4)</f>
        <v>1.5800000000000002E-2</v>
      </c>
      <c r="AF17" s="2399">
        <f t="shared" ref="AF17" si="149">AE17</f>
        <v>1.5800000000000002E-2</v>
      </c>
      <c r="AG17" s="2399">
        <f>ROUND(AVERAGE(K17:K$36)/100,4)</f>
        <v>2.4500000000000001E-2</v>
      </c>
      <c r="AH17" s="2399">
        <f>ROUND(AVERAGE(L17:L$36)/100,4)</f>
        <v>1.49E-2</v>
      </c>
    </row>
    <row r="18" spans="1:34" s="2400" customFormat="1" ht="14.45" customHeight="1">
      <c r="A18" s="2393" t="s">
        <v>2803</v>
      </c>
      <c r="B18" s="2394">
        <f t="shared" ref="B18" si="150">B19*(1+N18)</f>
        <v>459.95733971036987</v>
      </c>
      <c r="C18" s="2394">
        <f t="shared" ref="C18" si="151">C19*(1+O18)</f>
        <v>341.22221064422405</v>
      </c>
      <c r="D18" s="2394">
        <f t="shared" ref="D18" si="152">C18</f>
        <v>341.22221064422405</v>
      </c>
      <c r="E18" s="2394">
        <f t="shared" ref="E18" si="153">E19*(1+P18)</f>
        <v>657.19161663724799</v>
      </c>
      <c r="F18" s="2394">
        <f t="shared" ref="F18" si="154">F19*(1+Q18)</f>
        <v>300.87803644464805</v>
      </c>
      <c r="G18" s="3695"/>
      <c r="H18" s="2395">
        <v>3</v>
      </c>
      <c r="I18" s="2395">
        <v>1.51</v>
      </c>
      <c r="J18" s="2395">
        <v>1.41</v>
      </c>
      <c r="K18" s="2395">
        <v>1.52</v>
      </c>
      <c r="L18" s="2401">
        <v>1.74</v>
      </c>
      <c r="M18" s="2380"/>
      <c r="N18" s="2396">
        <f t="shared" si="101"/>
        <v>1.5100000000000001E-2</v>
      </c>
      <c r="O18" s="2381">
        <f t="shared" ref="O18" si="155">J18/100</f>
        <v>1.41E-2</v>
      </c>
      <c r="P18" s="2381">
        <f t="shared" ref="P18" si="156">K18/100</f>
        <v>1.52E-2</v>
      </c>
      <c r="Q18" s="2381">
        <f t="shared" ref="Q18" si="157">L18/100</f>
        <v>1.7399999999999999E-2</v>
      </c>
      <c r="R18" s="2397"/>
      <c r="S18" s="2396"/>
      <c r="T18" s="2381"/>
      <c r="U18" s="2381"/>
      <c r="V18" s="2381"/>
      <c r="W18" s="2398"/>
      <c r="X18" s="2398">
        <f>ROUND(SUMPRODUCT(PRODUCT(1+N18:N$35)),4)</f>
        <v>1.4956</v>
      </c>
      <c r="Y18" s="2398">
        <f>ROUND(SUMPRODUCT(PRODUCT(1+O18:O$35)),4)</f>
        <v>1.3237000000000001</v>
      </c>
      <c r="Z18" s="2398">
        <f t="shared" ref="Z18" si="158">Y18</f>
        <v>1.3237000000000001</v>
      </c>
      <c r="AA18" s="2398">
        <f>ROUND(SUMPRODUCT(PRODUCT(1+P18:P$35)),4)</f>
        <v>1.554</v>
      </c>
      <c r="AB18" s="2398">
        <f>ROUND(SUMPRODUCT(PRODUCT(1+Q18:Q$35)),4)</f>
        <v>1.3087</v>
      </c>
      <c r="AC18" s="2398"/>
      <c r="AD18" s="2399">
        <f>ROUND(AVERAGE(I18:I$36)/100,4)</f>
        <v>2.3099999999999999E-2</v>
      </c>
      <c r="AE18" s="2399">
        <f>ROUND(AVERAGE(J18:J$36)/100,4)</f>
        <v>1.61E-2</v>
      </c>
      <c r="AF18" s="2399">
        <f t="shared" ref="AF18" si="159">AE18</f>
        <v>1.61E-2</v>
      </c>
      <c r="AG18" s="2399">
        <f>ROUND(AVERAGE(K18:K$36)/100,4)</f>
        <v>2.53E-2</v>
      </c>
      <c r="AH18" s="2399">
        <f>ROUND(AVERAGE(L18:L$36)/100,4)</f>
        <v>1.4999999999999999E-2</v>
      </c>
    </row>
    <row r="19" spans="1:34" s="2400" customFormat="1" ht="14.45" customHeight="1">
      <c r="A19" s="2393" t="s">
        <v>2802</v>
      </c>
      <c r="B19" s="2394">
        <f t="shared" ref="B19" si="160">B20*(1+N19)</f>
        <v>453.11529869999993</v>
      </c>
      <c r="C19" s="2394">
        <f t="shared" ref="C19" si="161">C20*(1+O19)</f>
        <v>336.47787264000004</v>
      </c>
      <c r="D19" s="2394">
        <f t="shared" ref="D19" si="162">C19</f>
        <v>336.47787264000004</v>
      </c>
      <c r="E19" s="2394">
        <f t="shared" ref="E19" si="163">E20*(1+P19)</f>
        <v>647.35186823999993</v>
      </c>
      <c r="F19" s="2394">
        <f t="shared" ref="F19" si="164">F20*(1+Q19)</f>
        <v>295.73229452000004</v>
      </c>
      <c r="G19" s="3695"/>
      <c r="H19" s="2406">
        <v>2</v>
      </c>
      <c r="I19" s="2406">
        <v>1.49</v>
      </c>
      <c r="J19" s="2406">
        <v>0.96</v>
      </c>
      <c r="K19" s="2406">
        <v>1.58</v>
      </c>
      <c r="L19" s="2407">
        <v>2.44</v>
      </c>
      <c r="M19" s="2380"/>
      <c r="N19" s="2396">
        <f t="shared" ref="N19" si="165">I19/100</f>
        <v>1.49E-2</v>
      </c>
      <c r="O19" s="2381">
        <f t="shared" ref="O19" si="166">J19/100</f>
        <v>9.5999999999999992E-3</v>
      </c>
      <c r="P19" s="2381">
        <f t="shared" ref="P19" si="167">K19/100</f>
        <v>1.5800000000000002E-2</v>
      </c>
      <c r="Q19" s="2381">
        <f t="shared" ref="Q19" si="168">L19/100</f>
        <v>2.4399999999999998E-2</v>
      </c>
      <c r="R19" s="2397"/>
      <c r="S19" s="2396"/>
      <c r="T19" s="2381"/>
      <c r="U19" s="2381"/>
      <c r="V19" s="2381"/>
      <c r="W19" s="2398"/>
      <c r="X19" s="2398">
        <f>ROUND(SUMPRODUCT(PRODUCT(1+N19:N$35)),4)</f>
        <v>1.4733000000000001</v>
      </c>
      <c r="Y19" s="2398">
        <f>ROUND(SUMPRODUCT(PRODUCT(1+O19:O$35)),4)</f>
        <v>1.3052999999999999</v>
      </c>
      <c r="Z19" s="2398">
        <f t="shared" ref="Z19" si="169">Y19</f>
        <v>1.3052999999999999</v>
      </c>
      <c r="AA19" s="2398">
        <f>ROUND(SUMPRODUCT(PRODUCT(1+P19:P$35)),4)</f>
        <v>1.5306999999999999</v>
      </c>
      <c r="AB19" s="2398">
        <f>ROUND(SUMPRODUCT(PRODUCT(1+Q19:Q$35)),4)</f>
        <v>1.2863</v>
      </c>
      <c r="AC19" s="2398"/>
      <c r="AD19" s="2399">
        <f>ROUND(AVERAGE(I19:I$36)/100,4)</f>
        <v>2.35E-2</v>
      </c>
      <c r="AE19" s="2399">
        <f>ROUND(AVERAGE(J19:J$36)/100,4)</f>
        <v>1.6199999999999999E-2</v>
      </c>
      <c r="AF19" s="2399">
        <f t="shared" ref="AF19" si="170">AE19</f>
        <v>1.6199999999999999E-2</v>
      </c>
      <c r="AG19" s="2399">
        <f>ROUND(AVERAGE(K19:K$36)/100,4)</f>
        <v>2.5899999999999999E-2</v>
      </c>
      <c r="AH19" s="2399">
        <f>ROUND(AVERAGE(L19:L$36)/100,4)</f>
        <v>1.49E-2</v>
      </c>
    </row>
    <row r="20" spans="1:34" s="2400" customFormat="1" ht="15" customHeight="1" thickBot="1">
      <c r="A20" s="2393" t="s">
        <v>2795</v>
      </c>
      <c r="B20" s="2394">
        <f t="shared" ref="B20" si="171">B21*(1+N20)</f>
        <v>446.46299999999997</v>
      </c>
      <c r="C20" s="2394">
        <f t="shared" ref="C20" si="172">C21*(1+O20)</f>
        <v>333.27840000000003</v>
      </c>
      <c r="D20" s="2394">
        <f t="shared" ref="D20" si="173">C20</f>
        <v>333.27840000000003</v>
      </c>
      <c r="E20" s="2394">
        <f t="shared" ref="E20" si="174">E21*(1+P20)</f>
        <v>637.28279999999995</v>
      </c>
      <c r="F20" s="2394">
        <f t="shared" ref="F20" si="175">F21*(1+Q20)</f>
        <v>288.68830000000003</v>
      </c>
      <c r="G20" s="3702"/>
      <c r="H20" s="2395">
        <v>1</v>
      </c>
      <c r="I20" s="2395">
        <v>1.7</v>
      </c>
      <c r="J20" s="2395">
        <v>1.92</v>
      </c>
      <c r="K20" s="2395">
        <v>1.64</v>
      </c>
      <c r="L20" s="2401">
        <v>2.0099999999999998</v>
      </c>
      <c r="M20" s="2380"/>
      <c r="N20" s="2396">
        <f t="shared" ref="N20:N25" si="176">I20/100</f>
        <v>1.7000000000000001E-2</v>
      </c>
      <c r="O20" s="2381">
        <f t="shared" ref="O20" si="177">J20/100</f>
        <v>1.9199999999999998E-2</v>
      </c>
      <c r="P20" s="2381">
        <f t="shared" ref="P20" si="178">K20/100</f>
        <v>1.6399999999999998E-2</v>
      </c>
      <c r="Q20" s="2381">
        <f t="shared" ref="Q20" si="179">L20/100</f>
        <v>2.0099999999999996E-2</v>
      </c>
      <c r="R20" s="2397"/>
      <c r="S20" s="2396">
        <f>B20/B21-1</f>
        <v>1.6999999999999904E-2</v>
      </c>
      <c r="T20" s="2381">
        <f t="shared" ref="T20" si="180">C20/C21-1</f>
        <v>1.9200000000000106E-2</v>
      </c>
      <c r="U20" s="2381">
        <f t="shared" ref="U20" si="181">D20/D21-1</f>
        <v>1.9200000000000106E-2</v>
      </c>
      <c r="V20" s="2381">
        <f t="shared" ref="V20" si="182">E20/E21-1</f>
        <v>1.639999999999997E-2</v>
      </c>
      <c r="W20" s="2398"/>
      <c r="X20" s="2398">
        <f>ROUND(SUMPRODUCT(PRODUCT(1+N20:N$35)),4)</f>
        <v>1.4517</v>
      </c>
      <c r="Y20" s="2398">
        <f>ROUND(SUMPRODUCT(PRODUCT(1+O20:O$35)),4)</f>
        <v>1.2928999999999999</v>
      </c>
      <c r="Z20" s="2398">
        <f t="shared" ref="Z20" si="183">Y20</f>
        <v>1.2928999999999999</v>
      </c>
      <c r="AA20" s="2398">
        <f>ROUND(SUMPRODUCT(PRODUCT(1+P20:P$35)),4)</f>
        <v>1.5068999999999999</v>
      </c>
      <c r="AB20" s="2398">
        <f>ROUND(SUMPRODUCT(PRODUCT(1+Q20:Q$35)),4)</f>
        <v>1.2557</v>
      </c>
      <c r="AC20" s="2398"/>
      <c r="AD20" s="2399">
        <f>ROUND(AVERAGE(I20:I$36)/100,4)</f>
        <v>2.4E-2</v>
      </c>
      <c r="AE20" s="2399">
        <f>ROUND(AVERAGE(J20:J$36)/100,4)</f>
        <v>1.66E-2</v>
      </c>
      <c r="AF20" s="2399">
        <f t="shared" ref="AF20" si="184">AE20</f>
        <v>1.66E-2</v>
      </c>
      <c r="AG20" s="2399">
        <f>ROUND(AVERAGE(K20:K$36)/100,4)</f>
        <v>2.6499999999999999E-2</v>
      </c>
      <c r="AH20" s="2399">
        <f>ROUND(AVERAGE(L20:L$36)/100,4)</f>
        <v>1.43E-2</v>
      </c>
    </row>
    <row r="21" spans="1:34">
      <c r="A21" s="2393" t="s">
        <v>2793</v>
      </c>
      <c r="B21" s="2408">
        <v>439</v>
      </c>
      <c r="C21" s="2408">
        <v>327</v>
      </c>
      <c r="D21" s="2408">
        <f>C21</f>
        <v>327</v>
      </c>
      <c r="E21" s="2408">
        <v>627</v>
      </c>
      <c r="F21" s="2409">
        <v>283</v>
      </c>
      <c r="G21" s="3698">
        <v>2017</v>
      </c>
      <c r="H21" s="2402">
        <v>4</v>
      </c>
      <c r="I21" s="2402">
        <v>1.71</v>
      </c>
      <c r="J21" s="2402">
        <v>1.78</v>
      </c>
      <c r="K21" s="2402">
        <v>1.71</v>
      </c>
      <c r="L21" s="2403">
        <v>1.43</v>
      </c>
      <c r="N21" s="2396">
        <f t="shared" si="176"/>
        <v>1.7100000000000001E-2</v>
      </c>
      <c r="O21" s="2381">
        <f t="shared" ref="O21" si="185">J21/100</f>
        <v>1.78E-2</v>
      </c>
      <c r="P21" s="2381">
        <f t="shared" ref="P21" si="186">K21/100</f>
        <v>1.7100000000000001E-2</v>
      </c>
      <c r="Q21" s="2381">
        <f t="shared" ref="Q21" si="187">L21/100</f>
        <v>1.43E-2</v>
      </c>
      <c r="R21" s="2397"/>
      <c r="S21" s="2410"/>
      <c r="T21" s="2411"/>
      <c r="U21" s="2411"/>
      <c r="V21" s="2411"/>
      <c r="X21" s="2380">
        <f>ROUND(SUMPRODUCT(PRODUCT(1+N21:N$35)),4)</f>
        <v>1.4274</v>
      </c>
      <c r="Y21" s="2380">
        <f>ROUND(SUMPRODUCT(PRODUCT(1+O21:O$35)),4)</f>
        <v>1.2685</v>
      </c>
      <c r="Z21" s="2380">
        <f t="shared" si="0"/>
        <v>1.2685</v>
      </c>
      <c r="AA21" s="2380">
        <f>ROUND(SUMPRODUCT(PRODUCT(1+P21:P$35)),4)</f>
        <v>1.4825999999999999</v>
      </c>
      <c r="AB21" s="2380">
        <f>ROUND(SUMPRODUCT(PRODUCT(1+Q21:Q$35)),4)</f>
        <v>1.2309000000000001</v>
      </c>
      <c r="AD21" s="2381">
        <f>ROUND(AVERAGE(I21:I$36)/100,4)</f>
        <v>2.4500000000000001E-2</v>
      </c>
      <c r="AE21" s="2381">
        <f>ROUND(AVERAGE(J21:J$36)/100,4)</f>
        <v>1.6500000000000001E-2</v>
      </c>
      <c r="AF21" s="2381">
        <f t="shared" si="1"/>
        <v>1.6500000000000001E-2</v>
      </c>
      <c r="AG21" s="2381">
        <f>ROUND(AVERAGE(K21:K$36)/100,4)</f>
        <v>2.7099999999999999E-2</v>
      </c>
      <c r="AH21" s="2381">
        <f>ROUND(AVERAGE(L21:L$36)/100,4)</f>
        <v>1.3899999999999999E-2</v>
      </c>
    </row>
    <row r="22" spans="1:34" s="2400" customFormat="1" ht="14.45" customHeight="1">
      <c r="A22" s="2393" t="s">
        <v>2794</v>
      </c>
      <c r="B22" s="2394">
        <f t="shared" ref="B22:B23" si="188">B23*(1+N22)</f>
        <v>431.80730811680002</v>
      </c>
      <c r="C22" s="2394">
        <f t="shared" ref="C22:C23" si="189">C23*(1+O22)</f>
        <v>320.57880516480003</v>
      </c>
      <c r="D22" s="2394">
        <f t="shared" ref="D22:D23" si="190">C22</f>
        <v>320.57880516480003</v>
      </c>
      <c r="E22" s="2394">
        <f t="shared" ref="E22:E23" si="191">E23*(1+P22)</f>
        <v>615.96110553196797</v>
      </c>
      <c r="F22" s="2394">
        <f t="shared" ref="F22:F23" si="192">F23*(1+Q22)</f>
        <v>279.46777300108801</v>
      </c>
      <c r="G22" s="3695"/>
      <c r="H22" s="2395">
        <v>3</v>
      </c>
      <c r="I22" s="2395">
        <v>2.98</v>
      </c>
      <c r="J22" s="2395">
        <v>2.11</v>
      </c>
      <c r="K22" s="2395">
        <v>3.24</v>
      </c>
      <c r="L22" s="2401">
        <v>1.72</v>
      </c>
      <c r="M22" s="2380"/>
      <c r="N22" s="2396">
        <f t="shared" si="176"/>
        <v>2.98E-2</v>
      </c>
      <c r="O22" s="2381">
        <f t="shared" ref="O22" si="193">J22/100</f>
        <v>2.1099999999999997E-2</v>
      </c>
      <c r="P22" s="2381">
        <f t="shared" ref="P22" si="194">K22/100</f>
        <v>3.2400000000000005E-2</v>
      </c>
      <c r="Q22" s="2381">
        <f t="shared" ref="Q22" si="195">L22/100</f>
        <v>1.72E-2</v>
      </c>
      <c r="R22" s="2397"/>
      <c r="S22" s="2396"/>
      <c r="T22" s="2381"/>
      <c r="U22" s="2381"/>
      <c r="V22" s="2381"/>
      <c r="W22" s="2398"/>
      <c r="X22" s="2398">
        <f>ROUND(SUMPRODUCT(PRODUCT(1+N22:N$35)),4)</f>
        <v>1.4034</v>
      </c>
      <c r="Y22" s="2398">
        <f>ROUND(SUMPRODUCT(PRODUCT(1+O22:O$35)),4)</f>
        <v>1.2463</v>
      </c>
      <c r="Z22" s="2398">
        <f t="shared" si="0"/>
        <v>1.2463</v>
      </c>
      <c r="AA22" s="2398">
        <f>ROUND(SUMPRODUCT(PRODUCT(1+P22:P$35)),4)</f>
        <v>1.4577</v>
      </c>
      <c r="AB22" s="2398">
        <f>ROUND(SUMPRODUCT(PRODUCT(1+Q22:Q$35)),4)</f>
        <v>1.2136</v>
      </c>
      <c r="AC22" s="2398"/>
      <c r="AD22" s="2399">
        <f>ROUND(AVERAGE(I22:I$36)/100,4)</f>
        <v>2.4899999999999999E-2</v>
      </c>
      <c r="AE22" s="2399">
        <f>ROUND(AVERAGE(J22:J$36)/100,4)</f>
        <v>1.6400000000000001E-2</v>
      </c>
      <c r="AF22" s="2399">
        <f t="shared" si="1"/>
        <v>1.6400000000000001E-2</v>
      </c>
      <c r="AG22" s="2399">
        <f>ROUND(AVERAGE(K22:K$36)/100,4)</f>
        <v>2.7799999999999998E-2</v>
      </c>
      <c r="AH22" s="2399">
        <f>ROUND(AVERAGE(L22:L$36)/100,4)</f>
        <v>1.3899999999999999E-2</v>
      </c>
    </row>
    <row r="23" spans="1:34" s="2387" customFormat="1" ht="14.45" customHeight="1">
      <c r="A23" s="2393" t="s">
        <v>1291</v>
      </c>
      <c r="B23" s="2394">
        <f t="shared" si="188"/>
        <v>419.31181600000002</v>
      </c>
      <c r="C23" s="2394">
        <f t="shared" si="189"/>
        <v>313.95436800000004</v>
      </c>
      <c r="D23" s="2394">
        <f t="shared" si="190"/>
        <v>313.95436800000004</v>
      </c>
      <c r="E23" s="2394">
        <f t="shared" si="191"/>
        <v>596.63028431999999</v>
      </c>
      <c r="F23" s="2394">
        <f t="shared" si="192"/>
        <v>274.74220703999998</v>
      </c>
      <c r="G23" s="3695"/>
      <c r="H23" s="2406">
        <v>2</v>
      </c>
      <c r="I23" s="2406">
        <v>3.4</v>
      </c>
      <c r="J23" s="2406">
        <v>2</v>
      </c>
      <c r="K23" s="2406">
        <v>3.82</v>
      </c>
      <c r="L23" s="2407">
        <v>1.68</v>
      </c>
      <c r="M23" s="2380"/>
      <c r="N23" s="2396">
        <f t="shared" si="176"/>
        <v>3.4000000000000002E-2</v>
      </c>
      <c r="O23" s="2381">
        <f t="shared" ref="O23" si="196">J23/100</f>
        <v>0.02</v>
      </c>
      <c r="P23" s="2381">
        <f t="shared" ref="P23" si="197">K23/100</f>
        <v>3.8199999999999998E-2</v>
      </c>
      <c r="Q23" s="2381">
        <f t="shared" ref="Q23" si="198">L23/100</f>
        <v>1.6799999999999999E-2</v>
      </c>
      <c r="R23" s="2397"/>
      <c r="S23" s="2410"/>
      <c r="T23" s="2411"/>
      <c r="U23" s="2411"/>
      <c r="V23" s="2411"/>
      <c r="W23" s="2374"/>
      <c r="X23" s="2398">
        <f>ROUND(SUMPRODUCT(PRODUCT(1+N23:N$35)),4)</f>
        <v>1.3628</v>
      </c>
      <c r="Y23" s="2398">
        <f>ROUND(SUMPRODUCT(PRODUCT(1+O23:O$35)),4)</f>
        <v>1.2205999999999999</v>
      </c>
      <c r="Z23" s="2398">
        <f t="shared" si="0"/>
        <v>1.2205999999999999</v>
      </c>
      <c r="AA23" s="2398">
        <f>ROUND(SUMPRODUCT(PRODUCT(1+P23:P$35)),4)</f>
        <v>1.4118999999999999</v>
      </c>
      <c r="AB23" s="2398">
        <f>ROUND(SUMPRODUCT(PRODUCT(1+Q23:Q$35)),4)</f>
        <v>1.1930000000000001</v>
      </c>
      <c r="AC23" s="2374"/>
      <c r="AD23" s="2399">
        <f>ROUND(AVERAGE(I23:I$36)/100,4)</f>
        <v>2.46E-2</v>
      </c>
      <c r="AE23" s="2399">
        <f>ROUND(AVERAGE(J23:J$36)/100,4)</f>
        <v>1.6E-2</v>
      </c>
      <c r="AF23" s="2399">
        <f t="shared" si="1"/>
        <v>1.6E-2</v>
      </c>
      <c r="AG23" s="2399">
        <f>ROUND(AVERAGE(K23:K$36)/100,4)</f>
        <v>2.75E-2</v>
      </c>
      <c r="AH23" s="2399">
        <f>ROUND(AVERAGE(L23:L$36)/100,4)</f>
        <v>1.37E-2</v>
      </c>
    </row>
    <row r="24" spans="1:34" s="2400" customFormat="1" ht="15" customHeight="1" thickBot="1">
      <c r="A24" s="2393" t="s">
        <v>1069</v>
      </c>
      <c r="B24" s="2394">
        <f>B25*(1+N24)</f>
        <v>405.524</v>
      </c>
      <c r="C24" s="2394">
        <f>C25*(1+O24)</f>
        <v>307.79840000000002</v>
      </c>
      <c r="D24" s="2394">
        <f>C24</f>
        <v>307.79840000000002</v>
      </c>
      <c r="E24" s="2394">
        <f>E25*(1+P24)</f>
        <v>574.67759999999998</v>
      </c>
      <c r="F24" s="2394">
        <f>F25*(1+Q24)</f>
        <v>270.20280000000002</v>
      </c>
      <c r="G24" s="3702"/>
      <c r="H24" s="2395">
        <v>1</v>
      </c>
      <c r="I24" s="2395">
        <v>3.45</v>
      </c>
      <c r="J24" s="2395">
        <v>1.92</v>
      </c>
      <c r="K24" s="2395">
        <v>3.92</v>
      </c>
      <c r="L24" s="2401">
        <v>1.58</v>
      </c>
      <c r="M24" s="2380"/>
      <c r="N24" s="2396">
        <f t="shared" si="176"/>
        <v>3.4500000000000003E-2</v>
      </c>
      <c r="O24" s="2381">
        <f t="shared" ref="O24:Q39" si="199">J24/100</f>
        <v>1.9199999999999998E-2</v>
      </c>
      <c r="P24" s="2381">
        <f t="shared" si="199"/>
        <v>3.9199999999999999E-2</v>
      </c>
      <c r="Q24" s="2381">
        <f t="shared" si="199"/>
        <v>1.5800000000000002E-2</v>
      </c>
      <c r="R24" s="2397"/>
      <c r="S24" s="2396">
        <f>B24/B25-1</f>
        <v>3.4499999999999975E-2</v>
      </c>
      <c r="T24" s="2381">
        <f t="shared" ref="T24:V24" si="200">C24/C25-1</f>
        <v>1.9200000000000106E-2</v>
      </c>
      <c r="U24" s="2381">
        <f t="shared" si="200"/>
        <v>1.9200000000000106E-2</v>
      </c>
      <c r="V24" s="2381">
        <f t="shared" si="200"/>
        <v>3.9199999999999902E-2</v>
      </c>
      <c r="W24" s="2398"/>
      <c r="X24" s="2398">
        <f>ROUND(SUMPRODUCT(PRODUCT(1+N24:N$35)),4)</f>
        <v>1.3180000000000001</v>
      </c>
      <c r="Y24" s="2398">
        <f>ROUND(SUMPRODUCT(PRODUCT(1+O24:O$35)),4)</f>
        <v>1.1966000000000001</v>
      </c>
      <c r="Z24" s="2398">
        <f t="shared" si="0"/>
        <v>1.1966000000000001</v>
      </c>
      <c r="AA24" s="2398">
        <f>ROUND(SUMPRODUCT(PRODUCT(1+P24:P$35)),4)</f>
        <v>1.36</v>
      </c>
      <c r="AB24" s="2398">
        <f>ROUND(SUMPRODUCT(PRODUCT(1+Q24:Q$35)),4)</f>
        <v>1.1733</v>
      </c>
      <c r="AC24" s="2398"/>
      <c r="AD24" s="2399">
        <f>ROUND(AVERAGE(I24:I$36)/100,4)</f>
        <v>2.3900000000000001E-2</v>
      </c>
      <c r="AE24" s="2399">
        <f>ROUND(AVERAGE(J24:J$36)/100,4)</f>
        <v>1.5699999999999999E-2</v>
      </c>
      <c r="AF24" s="2399">
        <f t="shared" si="1"/>
        <v>1.5699999999999999E-2</v>
      </c>
      <c r="AG24" s="2399">
        <f>ROUND(AVERAGE(K24:K$36)/100,4)</f>
        <v>2.6599999999999999E-2</v>
      </c>
      <c r="AH24" s="2399">
        <f>ROUND(AVERAGE(L24:L$36)/100,4)</f>
        <v>1.34E-2</v>
      </c>
    </row>
    <row r="25" spans="1:34">
      <c r="A25" s="2393" t="s">
        <v>154</v>
      </c>
      <c r="B25" s="2408">
        <v>392</v>
      </c>
      <c r="C25" s="2408">
        <v>302</v>
      </c>
      <c r="D25" s="2408">
        <f>C25</f>
        <v>302</v>
      </c>
      <c r="E25" s="2408">
        <v>553</v>
      </c>
      <c r="F25" s="2409">
        <v>266</v>
      </c>
      <c r="G25" s="3698">
        <v>2016</v>
      </c>
      <c r="H25" s="2402">
        <v>4</v>
      </c>
      <c r="I25" s="2402">
        <v>4.5599999999999996</v>
      </c>
      <c r="J25" s="2402">
        <v>2.15</v>
      </c>
      <c r="K25" s="2402">
        <v>5.32</v>
      </c>
      <c r="L25" s="2403">
        <v>1.57</v>
      </c>
      <c r="N25" s="2396">
        <f t="shared" si="176"/>
        <v>4.5599999999999995E-2</v>
      </c>
      <c r="O25" s="2381">
        <f t="shared" si="199"/>
        <v>2.1499999999999998E-2</v>
      </c>
      <c r="P25" s="2381">
        <f t="shared" si="199"/>
        <v>5.3200000000000004E-2</v>
      </c>
      <c r="Q25" s="2381">
        <f t="shared" si="199"/>
        <v>1.5700000000000002E-2</v>
      </c>
      <c r="R25" s="2397"/>
      <c r="S25" s="2410"/>
      <c r="T25" s="2411"/>
      <c r="U25" s="2411"/>
      <c r="V25" s="2411"/>
      <c r="X25" s="2380">
        <f>ROUND(SUMPRODUCT(PRODUCT(1+N25:N$35)),4)</f>
        <v>1.274</v>
      </c>
      <c r="Y25" s="2380">
        <f>ROUND(SUMPRODUCT(PRODUCT(1+O25:O$35)),4)</f>
        <v>1.1740999999999999</v>
      </c>
      <c r="Z25" s="2380">
        <f t="shared" si="0"/>
        <v>1.1740999999999999</v>
      </c>
      <c r="AA25" s="2380">
        <f>ROUND(SUMPRODUCT(PRODUCT(1+P25:P$35)),4)</f>
        <v>1.3087</v>
      </c>
      <c r="AB25" s="2380">
        <f>ROUND(SUMPRODUCT(PRODUCT(1+Q25:Q$35)),4)</f>
        <v>1.1551</v>
      </c>
      <c r="AD25" s="2381">
        <f>ROUND(AVERAGE(I25:I$36)/100,4)</f>
        <v>2.3E-2</v>
      </c>
      <c r="AE25" s="2381">
        <f>ROUND(AVERAGE(J25:J$36)/100,4)</f>
        <v>1.55E-2</v>
      </c>
      <c r="AF25" s="2381">
        <f t="shared" si="1"/>
        <v>1.55E-2</v>
      </c>
      <c r="AG25" s="2381">
        <f>ROUND(AVERAGE(K25:K$36)/100,4)</f>
        <v>2.5600000000000001E-2</v>
      </c>
      <c r="AH25" s="2381">
        <f>ROUND(AVERAGE(L25:L$36)/100,4)</f>
        <v>1.32E-2</v>
      </c>
    </row>
    <row r="26" spans="1:34">
      <c r="A26" s="2393" t="s">
        <v>153</v>
      </c>
      <c r="B26" s="2394">
        <f t="shared" ref="B26:C28" si="201">B25/(1+N25)</f>
        <v>374.90436113236416</v>
      </c>
      <c r="C26" s="2394">
        <f t="shared" si="201"/>
        <v>295.64366128242779</v>
      </c>
      <c r="D26" s="2394">
        <f t="shared" ref="D26:D85" si="202">C26</f>
        <v>295.64366128242779</v>
      </c>
      <c r="E26" s="2394">
        <f t="shared" ref="E26:F28" si="203">E25/(1+P25)</f>
        <v>525.06646410938095</v>
      </c>
      <c r="F26" s="2394">
        <f t="shared" si="203"/>
        <v>261.88835286009646</v>
      </c>
      <c r="G26" s="3695"/>
      <c r="H26" s="2395">
        <v>3</v>
      </c>
      <c r="I26" s="2395">
        <v>4.12</v>
      </c>
      <c r="J26" s="2395">
        <v>2</v>
      </c>
      <c r="K26" s="2395">
        <v>4.79</v>
      </c>
      <c r="L26" s="2401">
        <v>1.97</v>
      </c>
      <c r="N26" s="2396">
        <f t="shared" ref="N26:Q60" si="204">I26/100</f>
        <v>4.1200000000000001E-2</v>
      </c>
      <c r="O26" s="2381">
        <f t="shared" si="199"/>
        <v>0.02</v>
      </c>
      <c r="P26" s="2381">
        <f t="shared" si="199"/>
        <v>4.7899999999999998E-2</v>
      </c>
      <c r="Q26" s="2381">
        <f t="shared" si="199"/>
        <v>1.9699999999999999E-2</v>
      </c>
      <c r="R26" s="2397"/>
      <c r="S26" s="2396"/>
      <c r="T26" s="2381"/>
      <c r="U26" s="2381"/>
      <c r="V26" s="2381"/>
      <c r="X26" s="2380">
        <f>ROUND(SUMPRODUCT(PRODUCT(1+N26:N$35)),4)</f>
        <v>1.2184999999999999</v>
      </c>
      <c r="Y26" s="2380">
        <f>ROUND(SUMPRODUCT(PRODUCT(1+O26:O$35)),4)</f>
        <v>1.1494</v>
      </c>
      <c r="Z26" s="2380">
        <f t="shared" si="0"/>
        <v>1.1494</v>
      </c>
      <c r="AA26" s="2380">
        <f>ROUND(SUMPRODUCT(PRODUCT(1+P26:P$35)),4)</f>
        <v>1.2425999999999999</v>
      </c>
      <c r="AB26" s="2380">
        <f>ROUND(SUMPRODUCT(PRODUCT(1+Q26:Q$35)),4)</f>
        <v>1.1372</v>
      </c>
      <c r="AD26" s="2381">
        <f>ROUND(AVERAGE(I26:I$36)/100,4)</f>
        <v>2.0899999999999998E-2</v>
      </c>
      <c r="AE26" s="2381">
        <f>ROUND(AVERAGE(J26:J$36)/100,4)</f>
        <v>1.49E-2</v>
      </c>
      <c r="AF26" s="2381">
        <f t="shared" si="1"/>
        <v>1.49E-2</v>
      </c>
      <c r="AG26" s="2381">
        <f>ROUND(AVERAGE(K26:K$36)/100,4)</f>
        <v>2.3099999999999999E-2</v>
      </c>
      <c r="AH26" s="2381">
        <f>ROUND(AVERAGE(L26:L$36)/100,4)</f>
        <v>1.2999999999999999E-2</v>
      </c>
    </row>
    <row r="27" spans="1:34">
      <c r="A27" s="2393" t="s">
        <v>143</v>
      </c>
      <c r="B27" s="2394">
        <f t="shared" si="201"/>
        <v>360.06949782209392</v>
      </c>
      <c r="C27" s="2394">
        <f t="shared" si="201"/>
        <v>289.84672674747821</v>
      </c>
      <c r="D27" s="2394">
        <f t="shared" si="202"/>
        <v>289.84672674747821</v>
      </c>
      <c r="E27" s="2394">
        <f t="shared" si="203"/>
        <v>501.06543001181495</v>
      </c>
      <c r="F27" s="2394">
        <f t="shared" si="203"/>
        <v>256.82882500744967</v>
      </c>
      <c r="G27" s="3695"/>
      <c r="H27" s="2406">
        <v>2</v>
      </c>
      <c r="I27" s="2406">
        <v>3.85</v>
      </c>
      <c r="J27" s="2406">
        <v>1.95</v>
      </c>
      <c r="K27" s="2406">
        <v>4.4800000000000004</v>
      </c>
      <c r="L27" s="2407">
        <v>1.41</v>
      </c>
      <c r="N27" s="2396">
        <f t="shared" si="204"/>
        <v>3.85E-2</v>
      </c>
      <c r="O27" s="2381">
        <f t="shared" si="199"/>
        <v>1.95E-2</v>
      </c>
      <c r="P27" s="2381">
        <f t="shared" si="199"/>
        <v>4.4800000000000006E-2</v>
      </c>
      <c r="Q27" s="2381">
        <f t="shared" si="199"/>
        <v>1.41E-2</v>
      </c>
      <c r="R27" s="2397"/>
      <c r="S27" s="2396"/>
      <c r="T27" s="2381"/>
      <c r="U27" s="2381"/>
      <c r="V27" s="2381"/>
      <c r="X27" s="2380">
        <f>ROUND(SUMPRODUCT(PRODUCT(1+N27:N$35)),4)</f>
        <v>1.1702999999999999</v>
      </c>
      <c r="Y27" s="2380">
        <f>ROUND(SUMPRODUCT(PRODUCT(1+O27:O$35)),4)</f>
        <v>1.1269</v>
      </c>
      <c r="Z27" s="2380">
        <f t="shared" si="0"/>
        <v>1.1269</v>
      </c>
      <c r="AA27" s="2380">
        <f>ROUND(SUMPRODUCT(PRODUCT(1+P27:P$35)),4)</f>
        <v>1.1858</v>
      </c>
      <c r="AB27" s="2380">
        <f>ROUND(SUMPRODUCT(PRODUCT(1+Q27:Q$35)),4)</f>
        <v>1.1152</v>
      </c>
      <c r="AD27" s="2381">
        <f>ROUND(AVERAGE(I27:I$36)/100,4)</f>
        <v>1.89E-2</v>
      </c>
      <c r="AE27" s="2381">
        <f>ROUND(AVERAGE(J27:J$36)/100,4)</f>
        <v>1.44E-2</v>
      </c>
      <c r="AF27" s="2381">
        <f t="shared" si="1"/>
        <v>1.44E-2</v>
      </c>
      <c r="AG27" s="2381">
        <f>ROUND(AVERAGE(K27:K$36)/100,4)</f>
        <v>2.06E-2</v>
      </c>
      <c r="AH27" s="2381">
        <f>ROUND(AVERAGE(L27:L$36)/100,4)</f>
        <v>1.23E-2</v>
      </c>
    </row>
    <row r="28" spans="1:34" ht="13.5" thickBot="1">
      <c r="A28" s="2393" t="s">
        <v>152</v>
      </c>
      <c r="B28" s="2394">
        <f t="shared" si="201"/>
        <v>346.720748986128</v>
      </c>
      <c r="C28" s="2394">
        <f t="shared" si="201"/>
        <v>284.30282172386285</v>
      </c>
      <c r="D28" s="2394">
        <f t="shared" si="202"/>
        <v>284.30282172386285</v>
      </c>
      <c r="E28" s="2394">
        <f t="shared" si="203"/>
        <v>479.58023546306947</v>
      </c>
      <c r="F28" s="2394">
        <f t="shared" si="203"/>
        <v>253.25788877571213</v>
      </c>
      <c r="G28" s="3696"/>
      <c r="H28" s="2395">
        <v>1</v>
      </c>
      <c r="I28" s="2395">
        <v>4.09</v>
      </c>
      <c r="J28" s="2395">
        <v>2.93</v>
      </c>
      <c r="K28" s="2395">
        <v>4.54</v>
      </c>
      <c r="L28" s="2401">
        <v>1.48</v>
      </c>
      <c r="N28" s="2396">
        <f t="shared" si="204"/>
        <v>4.0899999999999999E-2</v>
      </c>
      <c r="O28" s="2381">
        <f t="shared" si="199"/>
        <v>2.9300000000000003E-2</v>
      </c>
      <c r="P28" s="2381">
        <f t="shared" si="199"/>
        <v>4.5400000000000003E-2</v>
      </c>
      <c r="Q28" s="2381">
        <f t="shared" si="199"/>
        <v>1.4800000000000001E-2</v>
      </c>
      <c r="R28" s="2397"/>
      <c r="S28" s="2412">
        <f>B28/B29-1</f>
        <v>4.1203450408792808E-2</v>
      </c>
      <c r="T28" s="2413">
        <f>C28/C29-1</f>
        <v>2.6363977342465095E-2</v>
      </c>
      <c r="U28" s="2413">
        <f>E28/E29-1</f>
        <v>4.4837114298626357E-2</v>
      </c>
      <c r="V28" s="2413">
        <f>F28/F29-1</f>
        <v>1.7099954922538574E-2</v>
      </c>
      <c r="X28" s="2380">
        <f>ROUND(SUMPRODUCT(PRODUCT(1+N28:N$35)),4)</f>
        <v>1.1269</v>
      </c>
      <c r="Y28" s="2380">
        <f>ROUND(SUMPRODUCT(PRODUCT(1+O28:O$35)),4)</f>
        <v>1.1052999999999999</v>
      </c>
      <c r="Z28" s="2380">
        <f t="shared" si="0"/>
        <v>1.1052999999999999</v>
      </c>
      <c r="AA28" s="2380">
        <f>ROUND(SUMPRODUCT(PRODUCT(1+P28:P$35)),4)</f>
        <v>1.1349</v>
      </c>
      <c r="AB28" s="2380">
        <f>ROUND(SUMPRODUCT(PRODUCT(1+Q28:Q$35)),4)</f>
        <v>1.0996999999999999</v>
      </c>
      <c r="AD28" s="2381">
        <f>ROUND(AVERAGE(I28:I$36)/100,4)</f>
        <v>1.67E-2</v>
      </c>
      <c r="AE28" s="2381">
        <f>ROUND(AVERAGE(J28:J$36)/100,4)</f>
        <v>1.38E-2</v>
      </c>
      <c r="AF28" s="2381">
        <f t="shared" si="1"/>
        <v>1.38E-2</v>
      </c>
      <c r="AG28" s="2381">
        <f>ROUND(AVERAGE(K28:K$36)/100,4)</f>
        <v>1.7899999999999999E-2</v>
      </c>
      <c r="AH28" s="2381">
        <f>ROUND(AVERAGE(L28:L$36)/100,4)</f>
        <v>1.21E-2</v>
      </c>
    </row>
    <row r="29" spans="1:34" ht="13.5" thickBot="1">
      <c r="A29" s="2393" t="s">
        <v>151</v>
      </c>
      <c r="B29" s="2408">
        <v>333</v>
      </c>
      <c r="C29" s="2408">
        <v>277</v>
      </c>
      <c r="D29" s="2408">
        <f t="shared" si="202"/>
        <v>277</v>
      </c>
      <c r="E29" s="2408">
        <v>459</v>
      </c>
      <c r="F29" s="2409">
        <v>249</v>
      </c>
      <c r="G29" s="3694">
        <v>2015</v>
      </c>
      <c r="H29" s="2414">
        <v>4</v>
      </c>
      <c r="I29" s="2414">
        <v>1.63</v>
      </c>
      <c r="J29" s="2414">
        <v>1.1100000000000001</v>
      </c>
      <c r="K29" s="2414">
        <v>1.77</v>
      </c>
      <c r="L29" s="2415">
        <v>1.89</v>
      </c>
      <c r="N29" s="2416">
        <f t="shared" si="204"/>
        <v>1.6299999999999999E-2</v>
      </c>
      <c r="O29" s="2417">
        <f t="shared" si="199"/>
        <v>1.11E-2</v>
      </c>
      <c r="P29" s="2417">
        <f t="shared" si="199"/>
        <v>1.77E-2</v>
      </c>
      <c r="Q29" s="2417">
        <f t="shared" si="199"/>
        <v>1.89E-2</v>
      </c>
      <c r="R29" s="2397"/>
      <c r="X29" s="2380">
        <f>ROUND(SUMPRODUCT(PRODUCT(1+N29:N$35)),4)</f>
        <v>1.0826</v>
      </c>
      <c r="Y29" s="2380">
        <f>ROUND(SUMPRODUCT(PRODUCT(1+O29:O$35)),4)</f>
        <v>1.0738000000000001</v>
      </c>
      <c r="Z29" s="2380">
        <f t="shared" si="0"/>
        <v>1.0738000000000001</v>
      </c>
      <c r="AA29" s="2380">
        <f>ROUND(SUMPRODUCT(PRODUCT(1+P29:P$35)),4)</f>
        <v>1.0855999999999999</v>
      </c>
      <c r="AB29" s="2380">
        <f>ROUND(SUMPRODUCT(PRODUCT(1+Q29:Q$35)),4)</f>
        <v>1.0837000000000001</v>
      </c>
      <c r="AD29" s="2381">
        <f>ROUND(AVERAGE(I29:I$36)/100,4)</f>
        <v>1.37E-2</v>
      </c>
      <c r="AE29" s="2381">
        <f>ROUND(AVERAGE(J29:J$36)/100,4)</f>
        <v>1.1900000000000001E-2</v>
      </c>
      <c r="AF29" s="2381">
        <f t="shared" si="1"/>
        <v>1.1900000000000001E-2</v>
      </c>
      <c r="AG29" s="2381">
        <f>ROUND(AVERAGE(K29:K$36)/100,4)</f>
        <v>1.4500000000000001E-2</v>
      </c>
      <c r="AH29" s="2381">
        <f>ROUND(AVERAGE(L29:L$36)/100,4)</f>
        <v>1.18E-2</v>
      </c>
    </row>
    <row r="30" spans="1:34">
      <c r="A30" s="2393" t="s">
        <v>150</v>
      </c>
      <c r="B30" s="2394">
        <f t="shared" ref="B30:C32" si="205">B29/(1+N29)</f>
        <v>327.65915576109415</v>
      </c>
      <c r="C30" s="2394">
        <f t="shared" si="205"/>
        <v>273.95905449510434</v>
      </c>
      <c r="D30" s="2394">
        <f t="shared" si="202"/>
        <v>273.95905449510434</v>
      </c>
      <c r="E30" s="2394">
        <f t="shared" ref="E30:F32" si="206">E29/(1+P29)</f>
        <v>451.01699911565294</v>
      </c>
      <c r="F30" s="2394">
        <f t="shared" si="206"/>
        <v>244.38119540681129</v>
      </c>
      <c r="G30" s="3695"/>
      <c r="H30" s="2419">
        <v>3</v>
      </c>
      <c r="I30" s="2419">
        <v>1.65</v>
      </c>
      <c r="J30" s="2419">
        <v>0.92</v>
      </c>
      <c r="K30" s="2419">
        <v>1.88</v>
      </c>
      <c r="L30" s="2420">
        <v>1.26</v>
      </c>
      <c r="N30" s="2396">
        <f t="shared" si="204"/>
        <v>1.6500000000000001E-2</v>
      </c>
      <c r="O30" s="2421">
        <f t="shared" si="199"/>
        <v>9.1999999999999998E-3</v>
      </c>
      <c r="P30" s="2421">
        <f t="shared" si="199"/>
        <v>1.8799999999999997E-2</v>
      </c>
      <c r="Q30" s="2421">
        <f t="shared" si="199"/>
        <v>1.26E-2</v>
      </c>
      <c r="R30" s="2397"/>
      <c r="S30" s="2396"/>
      <c r="T30" s="2381"/>
      <c r="U30" s="2381"/>
      <c r="V30" s="2381"/>
      <c r="X30" s="2380">
        <f>ROUND(SUMPRODUCT(PRODUCT(1+N30:N$35)),4)</f>
        <v>1.0651999999999999</v>
      </c>
      <c r="Y30" s="2380">
        <f>ROUND(SUMPRODUCT(PRODUCT(1+O30:O$35)),4)</f>
        <v>1.0621</v>
      </c>
      <c r="Z30" s="2380">
        <f t="shared" si="0"/>
        <v>1.0621</v>
      </c>
      <c r="AA30" s="2380">
        <f>ROUND(SUMPRODUCT(PRODUCT(1+P30:P$35)),4)</f>
        <v>1.0668</v>
      </c>
      <c r="AB30" s="2380">
        <f>ROUND(SUMPRODUCT(PRODUCT(1+Q30:Q$35)),4)</f>
        <v>1.0636000000000001</v>
      </c>
      <c r="AD30" s="2381">
        <f>ROUND(AVERAGE(I30:I$36)/100,4)</f>
        <v>1.3299999999999999E-2</v>
      </c>
      <c r="AE30" s="2381">
        <f>ROUND(AVERAGE(J30:J$36)/100,4)</f>
        <v>1.2E-2</v>
      </c>
      <c r="AF30" s="2381">
        <f t="shared" si="1"/>
        <v>1.2E-2</v>
      </c>
      <c r="AG30" s="2381">
        <f>ROUND(AVERAGE(K30:K$36)/100,4)</f>
        <v>1.4E-2</v>
      </c>
      <c r="AH30" s="2381">
        <f>ROUND(AVERAGE(L30:L$36)/100,4)</f>
        <v>1.0800000000000001E-2</v>
      </c>
    </row>
    <row r="31" spans="1:34">
      <c r="A31" s="2393" t="s">
        <v>149</v>
      </c>
      <c r="B31" s="2394">
        <f t="shared" si="205"/>
        <v>322.34053690220776</v>
      </c>
      <c r="C31" s="2394">
        <f t="shared" si="205"/>
        <v>271.46160770422546</v>
      </c>
      <c r="D31" s="2394">
        <f t="shared" si="202"/>
        <v>271.46160770422546</v>
      </c>
      <c r="E31" s="2394">
        <f t="shared" si="206"/>
        <v>442.69434542172456</v>
      </c>
      <c r="F31" s="2394">
        <f t="shared" si="206"/>
        <v>241.34030753190925</v>
      </c>
      <c r="G31" s="3695"/>
      <c r="H31" s="2406">
        <v>2</v>
      </c>
      <c r="I31" s="2406">
        <v>0.77</v>
      </c>
      <c r="J31" s="2406">
        <v>0.69</v>
      </c>
      <c r="K31" s="2406">
        <v>0.8</v>
      </c>
      <c r="L31" s="2407">
        <v>0.88</v>
      </c>
      <c r="N31" s="2396">
        <f t="shared" si="204"/>
        <v>7.7000000000000002E-3</v>
      </c>
      <c r="O31" s="2421">
        <f t="shared" si="199"/>
        <v>6.8999999999999999E-3</v>
      </c>
      <c r="P31" s="2421">
        <f t="shared" si="199"/>
        <v>8.0000000000000002E-3</v>
      </c>
      <c r="Q31" s="2421">
        <f t="shared" si="199"/>
        <v>8.8000000000000005E-3</v>
      </c>
      <c r="R31" s="2397"/>
      <c r="S31" s="2396"/>
      <c r="T31" s="2381"/>
      <c r="U31" s="2381"/>
      <c r="V31" s="2381"/>
      <c r="X31" s="2380">
        <f>ROUND(SUMPRODUCT(PRODUCT(1+N31:N$35)),4)</f>
        <v>1.048</v>
      </c>
      <c r="Y31" s="2380">
        <f>ROUND(SUMPRODUCT(PRODUCT(1+O31:O$35)),4)</f>
        <v>1.0524</v>
      </c>
      <c r="Z31" s="2380">
        <f t="shared" si="0"/>
        <v>1.0524</v>
      </c>
      <c r="AA31" s="2380">
        <f>ROUND(SUMPRODUCT(PRODUCT(1+P31:P$35)),4)</f>
        <v>1.0470999999999999</v>
      </c>
      <c r="AB31" s="2380">
        <f>ROUND(SUMPRODUCT(PRODUCT(1+Q31:Q$35)),4)</f>
        <v>1.0504</v>
      </c>
      <c r="AD31" s="2381">
        <f>ROUND(AVERAGE(I31:I$36)/100,4)</f>
        <v>1.2800000000000001E-2</v>
      </c>
      <c r="AE31" s="2381">
        <f>ROUND(AVERAGE(J31:J$36)/100,4)</f>
        <v>1.2500000000000001E-2</v>
      </c>
      <c r="AF31" s="2381">
        <f t="shared" si="1"/>
        <v>1.2500000000000001E-2</v>
      </c>
      <c r="AG31" s="2381">
        <f>ROUND(AVERAGE(K31:K$36)/100,4)</f>
        <v>1.32E-2</v>
      </c>
      <c r="AH31" s="2381">
        <f>ROUND(AVERAGE(L31:L$36)/100,4)</f>
        <v>1.0500000000000001E-2</v>
      </c>
    </row>
    <row r="32" spans="1:34">
      <c r="A32" s="2393" t="s">
        <v>148</v>
      </c>
      <c r="B32" s="2394">
        <f t="shared" si="205"/>
        <v>319.87748030386797</v>
      </c>
      <c r="C32" s="2394">
        <f t="shared" si="205"/>
        <v>269.60135833173649</v>
      </c>
      <c r="D32" s="2394">
        <f t="shared" si="202"/>
        <v>269.60135833173649</v>
      </c>
      <c r="E32" s="2394">
        <f t="shared" si="206"/>
        <v>439.18089823583784</v>
      </c>
      <c r="F32" s="2394">
        <f t="shared" si="206"/>
        <v>239.23503918706311</v>
      </c>
      <c r="G32" s="3696"/>
      <c r="H32" s="2395">
        <v>1</v>
      </c>
      <c r="I32" s="2395">
        <v>0.51</v>
      </c>
      <c r="J32" s="2395">
        <v>0.54</v>
      </c>
      <c r="K32" s="2395">
        <v>0.48</v>
      </c>
      <c r="L32" s="2401">
        <v>0.93</v>
      </c>
      <c r="N32" s="2412">
        <f t="shared" si="204"/>
        <v>5.1000000000000004E-3</v>
      </c>
      <c r="O32" s="2413">
        <f t="shared" si="199"/>
        <v>5.4000000000000003E-3</v>
      </c>
      <c r="P32" s="2413">
        <f t="shared" si="199"/>
        <v>4.7999999999999996E-3</v>
      </c>
      <c r="Q32" s="2413">
        <f t="shared" si="199"/>
        <v>9.300000000000001E-3</v>
      </c>
      <c r="R32" s="2397"/>
      <c r="S32" s="2412">
        <f>B32/B33-1</f>
        <v>5.9040261127922822E-3</v>
      </c>
      <c r="T32" s="2413">
        <f>C32/C33-1</f>
        <v>5.9752176557332781E-3</v>
      </c>
      <c r="U32" s="2413">
        <f>E32/E33-1</f>
        <v>4.9906138119859556E-3</v>
      </c>
      <c r="V32" s="2413">
        <f>F32/F33-1</f>
        <v>9.4305450930933787E-3</v>
      </c>
      <c r="X32" s="2380">
        <f>ROUND(SUMPRODUCT(PRODUCT(1+N32:N$35)),4)</f>
        <v>1.0399</v>
      </c>
      <c r="Y32" s="2380">
        <f>ROUND(SUMPRODUCT(PRODUCT(1+O32:O$35)),4)</f>
        <v>1.0451999999999999</v>
      </c>
      <c r="Z32" s="2380">
        <f t="shared" si="0"/>
        <v>1.0451999999999999</v>
      </c>
      <c r="AA32" s="2380">
        <f>ROUND(SUMPRODUCT(PRODUCT(1+P32:P$35)),4)</f>
        <v>1.0387999999999999</v>
      </c>
      <c r="AB32" s="2380">
        <f>ROUND(SUMPRODUCT(PRODUCT(1+Q32:Q$35)),4)</f>
        <v>1.0411999999999999</v>
      </c>
      <c r="AD32" s="2381">
        <f>ROUND(AVERAGE(I32:I$36)/100,4)</f>
        <v>1.38E-2</v>
      </c>
      <c r="AE32" s="2381">
        <f>ROUND(AVERAGE(J32:J$36)/100,4)</f>
        <v>1.3599999999999999E-2</v>
      </c>
      <c r="AF32" s="2381">
        <f t="shared" si="1"/>
        <v>1.3599999999999999E-2</v>
      </c>
      <c r="AG32" s="2381">
        <f>ROUND(AVERAGE(K32:K$36)/100,4)</f>
        <v>1.4200000000000001E-2</v>
      </c>
      <c r="AH32" s="2381">
        <f>ROUND(AVERAGE(L32:L$36)/100,4)</f>
        <v>1.0800000000000001E-2</v>
      </c>
    </row>
    <row r="33" spans="1:34" ht="13.5" thickBot="1">
      <c r="A33" s="2393" t="s">
        <v>147</v>
      </c>
      <c r="B33" s="2422">
        <v>318</v>
      </c>
      <c r="C33" s="2422">
        <v>268</v>
      </c>
      <c r="D33" s="2422">
        <f t="shared" si="202"/>
        <v>268</v>
      </c>
      <c r="E33" s="2422">
        <v>437</v>
      </c>
      <c r="F33" s="2423">
        <v>237</v>
      </c>
      <c r="G33" s="3694">
        <v>2014</v>
      </c>
      <c r="H33" s="2414">
        <v>4</v>
      </c>
      <c r="I33" s="2414">
        <v>0.21</v>
      </c>
      <c r="J33" s="2414">
        <v>0.41</v>
      </c>
      <c r="K33" s="2414">
        <v>0.12</v>
      </c>
      <c r="L33" s="2415">
        <v>0.89</v>
      </c>
      <c r="N33" s="2396">
        <f t="shared" si="204"/>
        <v>2.0999999999999999E-3</v>
      </c>
      <c r="O33" s="2381">
        <f t="shared" si="199"/>
        <v>4.0999999999999995E-3</v>
      </c>
      <c r="P33" s="2381">
        <f t="shared" si="199"/>
        <v>1.1999999999999999E-3</v>
      </c>
      <c r="Q33" s="2381">
        <f t="shared" si="199"/>
        <v>8.8999999999999999E-3</v>
      </c>
      <c r="R33" s="2397"/>
      <c r="S33" s="2410"/>
      <c r="T33" s="2411"/>
      <c r="U33" s="2411"/>
      <c r="V33" s="2411"/>
      <c r="X33" s="2380">
        <f>ROUND(SUMPRODUCT(PRODUCT(1+N33:N$35)),4)</f>
        <v>1.0347</v>
      </c>
      <c r="Y33" s="2380">
        <f>ROUND(SUMPRODUCT(PRODUCT(1+O33:O$35)),4)</f>
        <v>1.0395000000000001</v>
      </c>
      <c r="Z33" s="2380">
        <f t="shared" si="0"/>
        <v>1.0395000000000001</v>
      </c>
      <c r="AA33" s="2380">
        <f>ROUND(SUMPRODUCT(PRODUCT(1+P33:P$35)),4)</f>
        <v>1.0338000000000001</v>
      </c>
      <c r="AB33" s="2380">
        <f>ROUND(SUMPRODUCT(PRODUCT(1+Q33:Q$35)),4)</f>
        <v>1.0316000000000001</v>
      </c>
      <c r="AD33" s="2381">
        <f>ROUND(AVERAGE(I33:I$36)/100,4)</f>
        <v>1.6E-2</v>
      </c>
      <c r="AE33" s="2381">
        <f>ROUND(AVERAGE(J33:J$36)/100,4)</f>
        <v>1.5599999999999999E-2</v>
      </c>
      <c r="AF33" s="2381">
        <f t="shared" si="1"/>
        <v>1.5599999999999999E-2</v>
      </c>
      <c r="AG33" s="2381">
        <f>ROUND(AVERAGE(K33:K$36)/100,4)</f>
        <v>1.66E-2</v>
      </c>
      <c r="AH33" s="2381">
        <f>ROUND(AVERAGE(L33:L$36)/100,4)</f>
        <v>1.12E-2</v>
      </c>
    </row>
    <row r="34" spans="1:34">
      <c r="A34" s="2393" t="s">
        <v>146</v>
      </c>
      <c r="B34" s="2394">
        <f t="shared" ref="B34:C36" si="207">B33/(1+N33)</f>
        <v>317.33359944117353</v>
      </c>
      <c r="C34" s="2394">
        <f t="shared" si="207"/>
        <v>266.90568668459315</v>
      </c>
      <c r="D34" s="2394">
        <f t="shared" si="202"/>
        <v>266.90568668459315</v>
      </c>
      <c r="E34" s="2394">
        <f t="shared" ref="E34:F36" si="208">E33/(1+P33)</f>
        <v>436.47622852576905</v>
      </c>
      <c r="F34" s="2394">
        <f t="shared" si="208"/>
        <v>234.90930716622066</v>
      </c>
      <c r="G34" s="3695"/>
      <c r="H34" s="2424">
        <v>3</v>
      </c>
      <c r="I34" s="2424">
        <v>0.83</v>
      </c>
      <c r="J34" s="2424">
        <v>1.47</v>
      </c>
      <c r="K34" s="2424">
        <v>0.65</v>
      </c>
      <c r="L34" s="2425">
        <v>0.72</v>
      </c>
      <c r="N34" s="2396">
        <f t="shared" si="204"/>
        <v>8.3000000000000001E-3</v>
      </c>
      <c r="O34" s="2381">
        <f t="shared" si="199"/>
        <v>1.47E-2</v>
      </c>
      <c r="P34" s="2381">
        <f t="shared" si="199"/>
        <v>6.5000000000000006E-3</v>
      </c>
      <c r="Q34" s="2381">
        <f t="shared" si="199"/>
        <v>7.1999999999999998E-3</v>
      </c>
      <c r="R34" s="2397"/>
      <c r="S34" s="2396"/>
      <c r="T34" s="2381"/>
      <c r="U34" s="2381"/>
      <c r="V34" s="2381"/>
      <c r="X34" s="2380">
        <f>ROUND(SUMPRODUCT(PRODUCT(1+N34:N$35)),4)</f>
        <v>1.0325</v>
      </c>
      <c r="Y34" s="2380">
        <f>ROUND(SUMPRODUCT(PRODUCT(1+O34:O$35)),4)</f>
        <v>1.0353000000000001</v>
      </c>
      <c r="Z34" s="2380">
        <f t="shared" ref="Z34:Z35" si="209">Y34</f>
        <v>1.0353000000000001</v>
      </c>
      <c r="AA34" s="2380">
        <f>ROUND(SUMPRODUCT(PRODUCT(1+P34:P$35)),4)</f>
        <v>1.0326</v>
      </c>
      <c r="AB34" s="2380">
        <f>ROUND(SUMPRODUCT(PRODUCT(1+Q34:Q$35)),4)</f>
        <v>1.0225</v>
      </c>
      <c r="AD34" s="2381">
        <f>ROUND(AVERAGE(I34:I$36)/100,4)</f>
        <v>2.07E-2</v>
      </c>
      <c r="AE34" s="2381">
        <f>ROUND(AVERAGE(J34:J$36)/100,4)</f>
        <v>1.95E-2</v>
      </c>
      <c r="AF34" s="2381">
        <f t="shared" si="1"/>
        <v>1.95E-2</v>
      </c>
      <c r="AG34" s="2381">
        <f>ROUND(AVERAGE(K34:K$36)/100,4)</f>
        <v>2.1700000000000001E-2</v>
      </c>
      <c r="AH34" s="2381">
        <f>ROUND(AVERAGE(L34:L$36)/100,4)</f>
        <v>1.2E-2</v>
      </c>
    </row>
    <row r="35" spans="1:34" ht="13.5" thickBot="1">
      <c r="A35" s="2393" t="s">
        <v>145</v>
      </c>
      <c r="B35" s="2394">
        <f t="shared" si="207"/>
        <v>314.72141172386546</v>
      </c>
      <c r="C35" s="2394">
        <f t="shared" si="207"/>
        <v>263.03901319069001</v>
      </c>
      <c r="D35" s="2394">
        <f t="shared" si="202"/>
        <v>263.03901319069001</v>
      </c>
      <c r="E35" s="2394">
        <f t="shared" si="208"/>
        <v>433.65745506782821</v>
      </c>
      <c r="F35" s="2394">
        <f t="shared" si="208"/>
        <v>233.23005080045735</v>
      </c>
      <c r="G35" s="3695"/>
      <c r="H35" s="2414">
        <v>2</v>
      </c>
      <c r="I35" s="2414">
        <v>2.4</v>
      </c>
      <c r="J35" s="2414">
        <v>2.0299999999999998</v>
      </c>
      <c r="K35" s="2414">
        <v>2.59</v>
      </c>
      <c r="L35" s="2415">
        <v>1.52</v>
      </c>
      <c r="N35" s="2396">
        <f t="shared" si="204"/>
        <v>2.4E-2</v>
      </c>
      <c r="O35" s="2381">
        <f t="shared" si="199"/>
        <v>2.0299999999999999E-2</v>
      </c>
      <c r="P35" s="2381">
        <f t="shared" si="199"/>
        <v>2.5899999999999999E-2</v>
      </c>
      <c r="Q35" s="2381">
        <f t="shared" si="199"/>
        <v>1.52E-2</v>
      </c>
      <c r="R35" s="2397"/>
      <c r="S35" s="2396"/>
      <c r="T35" s="2381"/>
      <c r="U35" s="2381"/>
      <c r="V35" s="2381"/>
      <c r="X35" s="2380">
        <f>1+N35</f>
        <v>1.024</v>
      </c>
      <c r="Y35" s="2380">
        <f>1+O35</f>
        <v>1.0203</v>
      </c>
      <c r="Z35" s="2380">
        <f t="shared" si="209"/>
        <v>1.0203</v>
      </c>
      <c r="AA35" s="2380">
        <f>1+P35</f>
        <v>1.0259</v>
      </c>
      <c r="AB35" s="2380">
        <f>1+Q35</f>
        <v>1.0152000000000001</v>
      </c>
      <c r="AD35" s="2381">
        <f>ROUND(AVERAGE(I35:I$36)/100,4)</f>
        <v>2.69E-2</v>
      </c>
      <c r="AE35" s="2381">
        <f>ROUND(AVERAGE(J35:J$36)/100,4)</f>
        <v>2.1899999999999999E-2</v>
      </c>
      <c r="AF35" s="2381">
        <f t="shared" ref="AF35" si="210">AE35</f>
        <v>2.1899999999999999E-2</v>
      </c>
      <c r="AG35" s="2381">
        <f>ROUND(AVERAGE(K35:K$36)/100,4)</f>
        <v>2.9399999999999999E-2</v>
      </c>
      <c r="AH35" s="2381">
        <f>ROUND(AVERAGE(L35:L$36)/100,4)</f>
        <v>1.44E-2</v>
      </c>
    </row>
    <row r="36" spans="1:34" s="2430" customFormat="1" ht="13.5" thickBot="1">
      <c r="A36" s="2426" t="s">
        <v>144</v>
      </c>
      <c r="B36" s="2427">
        <f t="shared" si="207"/>
        <v>307.34512863658733</v>
      </c>
      <c r="C36" s="2427">
        <f t="shared" si="207"/>
        <v>257.80556031626975</v>
      </c>
      <c r="D36" s="2427">
        <f t="shared" si="202"/>
        <v>257.80556031626975</v>
      </c>
      <c r="E36" s="2427">
        <f t="shared" si="208"/>
        <v>422.70928459677179</v>
      </c>
      <c r="F36" s="2427">
        <f t="shared" si="208"/>
        <v>229.73803270336617</v>
      </c>
      <c r="G36" s="3696"/>
      <c r="H36" s="2428">
        <v>1</v>
      </c>
      <c r="I36" s="2428">
        <v>2.97</v>
      </c>
      <c r="J36" s="2428">
        <v>2.34</v>
      </c>
      <c r="K36" s="2428">
        <v>3.28</v>
      </c>
      <c r="L36" s="2429">
        <v>1.36</v>
      </c>
      <c r="N36" s="2431">
        <f t="shared" si="204"/>
        <v>2.9700000000000001E-2</v>
      </c>
      <c r="O36" s="2432">
        <f t="shared" si="199"/>
        <v>2.3399999999999997E-2</v>
      </c>
      <c r="P36" s="2432">
        <f t="shared" si="199"/>
        <v>3.2799999999999996E-2</v>
      </c>
      <c r="Q36" s="2432">
        <f t="shared" si="199"/>
        <v>1.3600000000000001E-2</v>
      </c>
      <c r="R36" s="2433"/>
      <c r="S36" s="2434">
        <f>B36/B37-1</f>
        <v>2.7910129219355539E-2</v>
      </c>
      <c r="T36" s="2435">
        <f>C36/C37-1</f>
        <v>2.3037937762975247E-2</v>
      </c>
      <c r="U36" s="2435">
        <f>E36/E37-1</f>
        <v>3.3519033243940788E-2</v>
      </c>
      <c r="V36" s="2435">
        <f>F36/F37-1</f>
        <v>1.2061818076502862E-2</v>
      </c>
      <c r="W36" s="2436" t="s">
        <v>1070</v>
      </c>
      <c r="X36" s="2437">
        <v>1</v>
      </c>
      <c r="Y36" s="2437">
        <v>1</v>
      </c>
      <c r="Z36" s="2437">
        <v>1</v>
      </c>
      <c r="AA36" s="2437">
        <v>1</v>
      </c>
      <c r="AB36" s="2437">
        <v>1</v>
      </c>
      <c r="AD36" s="2432">
        <f>I36/100</f>
        <v>2.9700000000000001E-2</v>
      </c>
      <c r="AE36" s="2432">
        <f>J36/100</f>
        <v>2.3399999999999997E-2</v>
      </c>
      <c r="AF36" s="2432">
        <f>AE36</f>
        <v>2.3399999999999997E-2</v>
      </c>
      <c r="AG36" s="2432">
        <f>K36/100</f>
        <v>3.2799999999999996E-2</v>
      </c>
      <c r="AH36" s="2432">
        <f>L36/100</f>
        <v>1.3600000000000001E-2</v>
      </c>
    </row>
    <row r="37" spans="1:34" ht="13.5" thickBot="1">
      <c r="A37" s="2393" t="s">
        <v>1071</v>
      </c>
      <c r="B37" s="2408">
        <v>299</v>
      </c>
      <c r="C37" s="2408">
        <v>252</v>
      </c>
      <c r="D37" s="2408">
        <f t="shared" si="202"/>
        <v>252</v>
      </c>
      <c r="E37" s="2408">
        <v>409</v>
      </c>
      <c r="F37" s="2409">
        <v>227</v>
      </c>
      <c r="G37" s="3699">
        <v>2013</v>
      </c>
      <c r="H37" s="2438">
        <v>4</v>
      </c>
      <c r="I37" s="2438">
        <v>1.83</v>
      </c>
      <c r="J37" s="2438">
        <v>1.68</v>
      </c>
      <c r="K37" s="2438">
        <v>1.97</v>
      </c>
      <c r="L37" s="2439">
        <v>0.87</v>
      </c>
      <c r="N37" s="2416">
        <f t="shared" si="204"/>
        <v>1.83E-2</v>
      </c>
      <c r="O37" s="2417">
        <f t="shared" si="199"/>
        <v>1.6799999999999999E-2</v>
      </c>
      <c r="P37" s="2417">
        <f t="shared" si="199"/>
        <v>1.9699999999999999E-2</v>
      </c>
      <c r="Q37" s="2417">
        <f t="shared" si="199"/>
        <v>8.6999999999999994E-3</v>
      </c>
      <c r="R37" s="2397"/>
      <c r="S37" s="2410"/>
      <c r="T37" s="2411"/>
      <c r="U37" s="2411"/>
      <c r="V37" s="2411"/>
      <c r="X37" s="2411"/>
      <c r="Y37" s="2411"/>
      <c r="Z37" s="2411"/>
    </row>
    <row r="38" spans="1:34">
      <c r="A38" s="2393" t="s">
        <v>1072</v>
      </c>
      <c r="B38" s="2394">
        <f t="shared" ref="B38:C40" si="211">B37/(1+N37)</f>
        <v>293.62663262299913</v>
      </c>
      <c r="C38" s="2394">
        <f t="shared" si="211"/>
        <v>247.83634933123525</v>
      </c>
      <c r="D38" s="2394">
        <f t="shared" si="202"/>
        <v>247.83634933123525</v>
      </c>
      <c r="E38" s="2394">
        <f t="shared" ref="E38:F40" si="212">E37/(1+P37)</f>
        <v>401.09836226341076</v>
      </c>
      <c r="F38" s="2394">
        <f t="shared" si="212"/>
        <v>225.04213343908003</v>
      </c>
      <c r="G38" s="3700"/>
      <c r="H38" s="2419">
        <v>3</v>
      </c>
      <c r="I38" s="2419">
        <v>1.86</v>
      </c>
      <c r="J38" s="2419">
        <v>1.72</v>
      </c>
      <c r="K38" s="2419">
        <v>1.98</v>
      </c>
      <c r="L38" s="2420">
        <v>0.88</v>
      </c>
      <c r="N38" s="2396">
        <f t="shared" si="204"/>
        <v>1.8600000000000002E-2</v>
      </c>
      <c r="O38" s="2421">
        <f t="shared" si="199"/>
        <v>1.72E-2</v>
      </c>
      <c r="P38" s="2421">
        <f t="shared" si="199"/>
        <v>1.9799999999999998E-2</v>
      </c>
      <c r="Q38" s="2421">
        <f t="shared" si="199"/>
        <v>8.8000000000000005E-3</v>
      </c>
      <c r="R38" s="2397"/>
      <c r="S38" s="2396"/>
      <c r="T38" s="2381"/>
      <c r="U38" s="2381"/>
      <c r="V38" s="2381"/>
    </row>
    <row r="39" spans="1:34">
      <c r="A39" s="2393" t="s">
        <v>1073</v>
      </c>
      <c r="B39" s="2394">
        <f t="shared" si="211"/>
        <v>288.2649053828776</v>
      </c>
      <c r="C39" s="2394">
        <f t="shared" si="211"/>
        <v>243.64564425013293</v>
      </c>
      <c r="D39" s="2394">
        <f t="shared" si="202"/>
        <v>243.64564425013293</v>
      </c>
      <c r="E39" s="2394">
        <f t="shared" si="212"/>
        <v>393.31080825986544</v>
      </c>
      <c r="F39" s="2394">
        <f t="shared" si="212"/>
        <v>223.07903790551154</v>
      </c>
      <c r="G39" s="3700"/>
      <c r="H39" s="2406">
        <v>2</v>
      </c>
      <c r="I39" s="2406">
        <v>2.04</v>
      </c>
      <c r="J39" s="2406">
        <v>2.33</v>
      </c>
      <c r="K39" s="2406">
        <v>2.0699999999999998</v>
      </c>
      <c r="L39" s="2407">
        <v>0.69</v>
      </c>
      <c r="N39" s="2396">
        <f t="shared" si="204"/>
        <v>2.0400000000000001E-2</v>
      </c>
      <c r="O39" s="2421">
        <f t="shared" si="199"/>
        <v>2.3300000000000001E-2</v>
      </c>
      <c r="P39" s="2421">
        <f t="shared" si="199"/>
        <v>2.07E-2</v>
      </c>
      <c r="Q39" s="2421">
        <f t="shared" si="199"/>
        <v>6.8999999999999999E-3</v>
      </c>
      <c r="R39" s="2397"/>
      <c r="S39" s="2396"/>
      <c r="T39" s="2381"/>
      <c r="U39" s="2381"/>
      <c r="V39" s="2381"/>
      <c r="X39" s="2440"/>
      <c r="Y39" s="2441"/>
    </row>
    <row r="40" spans="1:34">
      <c r="A40" s="2393" t="s">
        <v>1074</v>
      </c>
      <c r="B40" s="2394">
        <f t="shared" si="211"/>
        <v>282.50186729015837</v>
      </c>
      <c r="C40" s="2394">
        <f t="shared" si="211"/>
        <v>238.09796174155468</v>
      </c>
      <c r="D40" s="2394">
        <f t="shared" si="202"/>
        <v>238.09796174155468</v>
      </c>
      <c r="E40" s="2394">
        <f t="shared" si="212"/>
        <v>385.33438646014054</v>
      </c>
      <c r="F40" s="2394">
        <f t="shared" si="212"/>
        <v>221.55034055567739</v>
      </c>
      <c r="G40" s="3701"/>
      <c r="H40" s="2395">
        <v>1</v>
      </c>
      <c r="I40" s="2395">
        <v>1.67</v>
      </c>
      <c r="J40" s="2395">
        <v>1.31</v>
      </c>
      <c r="K40" s="2395">
        <v>1.85</v>
      </c>
      <c r="L40" s="2401">
        <v>0.96</v>
      </c>
      <c r="N40" s="2412">
        <f t="shared" si="204"/>
        <v>1.67E-2</v>
      </c>
      <c r="O40" s="2413">
        <f t="shared" si="204"/>
        <v>1.3100000000000001E-2</v>
      </c>
      <c r="P40" s="2413">
        <f t="shared" si="204"/>
        <v>1.8500000000000003E-2</v>
      </c>
      <c r="Q40" s="2413">
        <f t="shared" si="204"/>
        <v>9.5999999999999992E-3</v>
      </c>
      <c r="R40" s="2397"/>
      <c r="S40" s="2412">
        <f>B40/B41-1</f>
        <v>1.6193767230785472E-2</v>
      </c>
      <c r="T40" s="2413">
        <f>C40/C41-1</f>
        <v>1.7512657015190891E-2</v>
      </c>
      <c r="U40" s="2413">
        <f>E40/E41-1</f>
        <v>1.6713420739157048E-2</v>
      </c>
      <c r="V40" s="2413">
        <f>F40/F41-1</f>
        <v>7.0470025258062563E-3</v>
      </c>
      <c r="X40" s="2442"/>
      <c r="Y40" s="2381"/>
      <c r="Z40" s="2381"/>
    </row>
    <row r="41" spans="1:34" ht="13.5" thickBot="1">
      <c r="A41" s="2393" t="s">
        <v>1075</v>
      </c>
      <c r="B41" s="2443">
        <v>278</v>
      </c>
      <c r="C41" s="2443">
        <v>234</v>
      </c>
      <c r="D41" s="2443">
        <f t="shared" si="202"/>
        <v>234</v>
      </c>
      <c r="E41" s="2443">
        <v>379</v>
      </c>
      <c r="F41" s="2444">
        <v>220</v>
      </c>
      <c r="G41" s="3694">
        <v>2012</v>
      </c>
      <c r="H41" s="2414">
        <v>4</v>
      </c>
      <c r="I41" s="2414">
        <v>0.91</v>
      </c>
      <c r="J41" s="2414">
        <v>0.68</v>
      </c>
      <c r="K41" s="2414">
        <v>0.98</v>
      </c>
      <c r="L41" s="2415">
        <v>0.9</v>
      </c>
      <c r="N41" s="2396">
        <f t="shared" si="204"/>
        <v>9.1000000000000004E-3</v>
      </c>
      <c r="O41" s="2381">
        <f t="shared" si="204"/>
        <v>6.8000000000000005E-3</v>
      </c>
      <c r="P41" s="2381">
        <f t="shared" si="204"/>
        <v>9.7999999999999997E-3</v>
      </c>
      <c r="Q41" s="2381">
        <f t="shared" si="204"/>
        <v>9.0000000000000011E-3</v>
      </c>
      <c r="R41" s="2397"/>
      <c r="S41" s="2410"/>
      <c r="T41" s="2411"/>
      <c r="U41" s="2411"/>
      <c r="V41" s="2411"/>
      <c r="X41" s="2411"/>
      <c r="Y41" s="2411"/>
      <c r="Z41" s="2411"/>
    </row>
    <row r="42" spans="1:34">
      <c r="A42" s="2393" t="s">
        <v>1076</v>
      </c>
      <c r="B42" s="2394">
        <f>B41/(1+N41)</f>
        <v>275.49301357645425</v>
      </c>
      <c r="C42" s="2394">
        <f>C41/(1+O41)</f>
        <v>232.41954707985698</v>
      </c>
      <c r="D42" s="2394">
        <f t="shared" si="202"/>
        <v>232.41954707985698</v>
      </c>
      <c r="E42" s="2394">
        <f t="shared" ref="E42:F44" si="213">E41/(1+P41)</f>
        <v>375.32184591008121</v>
      </c>
      <c r="F42" s="2394">
        <f t="shared" si="213"/>
        <v>218.03766105054513</v>
      </c>
      <c r="G42" s="3695"/>
      <c r="H42" s="2419">
        <v>3</v>
      </c>
      <c r="I42" s="2419">
        <v>0.09</v>
      </c>
      <c r="J42" s="2419">
        <v>0.28999999999999998</v>
      </c>
      <c r="K42" s="2419">
        <v>-0.01</v>
      </c>
      <c r="L42" s="2420">
        <v>0.57999999999999996</v>
      </c>
      <c r="N42" s="2396">
        <f t="shared" si="204"/>
        <v>8.9999999999999998E-4</v>
      </c>
      <c r="O42" s="2381">
        <f t="shared" si="204"/>
        <v>2.8999999999999998E-3</v>
      </c>
      <c r="P42" s="2381">
        <f t="shared" si="204"/>
        <v>-1E-4</v>
      </c>
      <c r="Q42" s="2381">
        <f t="shared" si="204"/>
        <v>5.7999999999999996E-3</v>
      </c>
      <c r="R42" s="2397"/>
      <c r="S42" s="2396"/>
      <c r="T42" s="2381"/>
      <c r="U42" s="2381"/>
      <c r="V42" s="2381"/>
    </row>
    <row r="43" spans="1:34">
      <c r="A43" s="2393" t="s">
        <v>1077</v>
      </c>
      <c r="B43" s="2394">
        <f>B42/(1+N42)</f>
        <v>275.24529281292263</v>
      </c>
      <c r="C43" s="2394">
        <f>C42/(1+O42)</f>
        <v>231.74747938962707</v>
      </c>
      <c r="D43" s="2394">
        <f t="shared" si="202"/>
        <v>231.74747938962707</v>
      </c>
      <c r="E43" s="2394">
        <f t="shared" si="213"/>
        <v>375.35938184826603</v>
      </c>
      <c r="F43" s="2394">
        <f t="shared" si="213"/>
        <v>216.78033510692495</v>
      </c>
      <c r="G43" s="3695"/>
      <c r="H43" s="2406">
        <v>2</v>
      </c>
      <c r="I43" s="2406">
        <v>0.02</v>
      </c>
      <c r="J43" s="2406">
        <v>0.12</v>
      </c>
      <c r="K43" s="2406">
        <v>-0.08</v>
      </c>
      <c r="L43" s="2407">
        <v>1.24</v>
      </c>
      <c r="N43" s="2396">
        <f t="shared" si="204"/>
        <v>2.0000000000000001E-4</v>
      </c>
      <c r="O43" s="2381">
        <f t="shared" si="204"/>
        <v>1.1999999999999999E-3</v>
      </c>
      <c r="P43" s="2381">
        <f t="shared" si="204"/>
        <v>-8.0000000000000004E-4</v>
      </c>
      <c r="Q43" s="2381">
        <f t="shared" si="204"/>
        <v>1.24E-2</v>
      </c>
      <c r="R43" s="2397"/>
      <c r="S43" s="2396"/>
      <c r="T43" s="2381"/>
      <c r="U43" s="2381"/>
      <c r="V43" s="2381"/>
    </row>
    <row r="44" spans="1:34" ht="13.5" thickBot="1">
      <c r="A44" s="2393" t="s">
        <v>1078</v>
      </c>
      <c r="B44" s="2394">
        <f>B43/(1+N43)</f>
        <v>275.19025476197027</v>
      </c>
      <c r="C44" s="2445">
        <v>232</v>
      </c>
      <c r="D44" s="2445">
        <f t="shared" si="202"/>
        <v>232</v>
      </c>
      <c r="E44" s="2394">
        <f t="shared" si="213"/>
        <v>375.65990977608692</v>
      </c>
      <c r="F44" s="2394">
        <f t="shared" si="213"/>
        <v>214.12518283971252</v>
      </c>
      <c r="G44" s="3696"/>
      <c r="H44" s="2395">
        <v>1</v>
      </c>
      <c r="I44" s="2395">
        <v>0.02</v>
      </c>
      <c r="J44" s="2395">
        <v>0.13</v>
      </c>
      <c r="K44" s="2395">
        <v>-0.04</v>
      </c>
      <c r="L44" s="2401">
        <v>0.46</v>
      </c>
      <c r="N44" s="2396">
        <f t="shared" si="204"/>
        <v>2.0000000000000001E-4</v>
      </c>
      <c r="O44" s="2381">
        <f t="shared" si="204"/>
        <v>1.2999999999999999E-3</v>
      </c>
      <c r="P44" s="2381">
        <f t="shared" si="204"/>
        <v>-4.0000000000000002E-4</v>
      </c>
      <c r="Q44" s="2381">
        <f t="shared" si="204"/>
        <v>4.5999999999999999E-3</v>
      </c>
      <c r="R44" s="2397"/>
      <c r="S44" s="2412">
        <f>B44/B45-1</f>
        <v>6.9183549807361189E-4</v>
      </c>
      <c r="T44" s="2413">
        <f>C44/C45-1</f>
        <v>0</v>
      </c>
      <c r="U44" s="2413">
        <f>E44/E45-1</f>
        <v>-9.0449527636460303E-4</v>
      </c>
      <c r="V44" s="2413">
        <f>F44/F45-1</f>
        <v>5.2825485432512753E-3</v>
      </c>
      <c r="X44" s="2381"/>
      <c r="Y44" s="2381"/>
      <c r="Z44" s="2381"/>
    </row>
    <row r="45" spans="1:34" ht="13.5" thickBot="1">
      <c r="A45" s="2393" t="s">
        <v>1079</v>
      </c>
      <c r="B45" s="2408">
        <v>275</v>
      </c>
      <c r="C45" s="2408">
        <v>232</v>
      </c>
      <c r="D45" s="2408">
        <f t="shared" si="202"/>
        <v>232</v>
      </c>
      <c r="E45" s="2408">
        <v>376</v>
      </c>
      <c r="F45" s="2409">
        <v>213</v>
      </c>
      <c r="G45" s="3694">
        <v>2011</v>
      </c>
      <c r="H45" s="2414">
        <v>4</v>
      </c>
      <c r="I45" s="2414">
        <v>-0.2</v>
      </c>
      <c r="J45" s="2414">
        <v>0.04</v>
      </c>
      <c r="K45" s="2414">
        <v>-0.34</v>
      </c>
      <c r="L45" s="2415">
        <v>0.46</v>
      </c>
      <c r="N45" s="2416">
        <f t="shared" si="204"/>
        <v>-2E-3</v>
      </c>
      <c r="O45" s="2417">
        <f t="shared" si="204"/>
        <v>4.0000000000000002E-4</v>
      </c>
      <c r="P45" s="2417">
        <f t="shared" si="204"/>
        <v>-3.4000000000000002E-3</v>
      </c>
      <c r="Q45" s="2417">
        <f t="shared" si="204"/>
        <v>4.5999999999999999E-3</v>
      </c>
      <c r="R45" s="2397"/>
      <c r="S45" s="2410"/>
      <c r="T45" s="2411"/>
      <c r="U45" s="2411"/>
      <c r="V45" s="2411"/>
      <c r="X45" s="2411"/>
      <c r="Y45" s="2411"/>
      <c r="Z45" s="2411"/>
    </row>
    <row r="46" spans="1:34">
      <c r="A46" s="2393" t="s">
        <v>1080</v>
      </c>
      <c r="B46" s="2394">
        <f t="shared" ref="B46:C48" si="214">B45/(1+N45)</f>
        <v>275.55110220440883</v>
      </c>
      <c r="C46" s="2394">
        <f t="shared" si="214"/>
        <v>231.90723710515795</v>
      </c>
      <c r="D46" s="2394">
        <f t="shared" si="202"/>
        <v>231.90723710515795</v>
      </c>
      <c r="E46" s="2394">
        <f t="shared" ref="E46:F48" si="215">E45/(1+P45)</f>
        <v>377.28276138872161</v>
      </c>
      <c r="F46" s="2394">
        <f t="shared" si="215"/>
        <v>212.02468644236512</v>
      </c>
      <c r="G46" s="3695">
        <v>2011</v>
      </c>
      <c r="H46" s="2419">
        <v>3</v>
      </c>
      <c r="I46" s="2419">
        <v>0.13</v>
      </c>
      <c r="J46" s="2419">
        <v>0.75</v>
      </c>
      <c r="K46" s="2419">
        <v>-0.08</v>
      </c>
      <c r="L46" s="2420">
        <v>0.53</v>
      </c>
      <c r="N46" s="2396">
        <f t="shared" si="204"/>
        <v>1.2999999999999999E-3</v>
      </c>
      <c r="O46" s="2421">
        <f t="shared" si="204"/>
        <v>7.4999999999999997E-3</v>
      </c>
      <c r="P46" s="2421">
        <f t="shared" si="204"/>
        <v>-8.0000000000000004E-4</v>
      </c>
      <c r="Q46" s="2421">
        <f t="shared" si="204"/>
        <v>5.3E-3</v>
      </c>
      <c r="R46" s="2397"/>
      <c r="S46" s="2396"/>
      <c r="T46" s="2381"/>
      <c r="U46" s="2381"/>
      <c r="V46" s="2381"/>
    </row>
    <row r="47" spans="1:34">
      <c r="A47" s="2393" t="s">
        <v>1081</v>
      </c>
      <c r="B47" s="2394">
        <f t="shared" si="214"/>
        <v>275.19335084830601</v>
      </c>
      <c r="C47" s="2394">
        <f t="shared" si="214"/>
        <v>230.18088050139744</v>
      </c>
      <c r="D47" s="2394">
        <f t="shared" si="202"/>
        <v>230.18088050139744</v>
      </c>
      <c r="E47" s="2394">
        <f t="shared" si="215"/>
        <v>377.58482925212331</v>
      </c>
      <c r="F47" s="2394">
        <f t="shared" si="215"/>
        <v>210.90687997847917</v>
      </c>
      <c r="G47" s="3695">
        <v>2011</v>
      </c>
      <c r="H47" s="2406">
        <v>2</v>
      </c>
      <c r="I47" s="2406">
        <v>-0.4</v>
      </c>
      <c r="J47" s="2406">
        <v>0.17</v>
      </c>
      <c r="K47" s="2406">
        <v>-0.57999999999999996</v>
      </c>
      <c r="L47" s="2407">
        <v>-0.2</v>
      </c>
      <c r="N47" s="2396">
        <f t="shared" si="204"/>
        <v>-4.0000000000000001E-3</v>
      </c>
      <c r="O47" s="2421">
        <f t="shared" si="204"/>
        <v>1.7000000000000001E-3</v>
      </c>
      <c r="P47" s="2421">
        <f t="shared" si="204"/>
        <v>-5.7999999999999996E-3</v>
      </c>
      <c r="Q47" s="2421">
        <f t="shared" si="204"/>
        <v>-2E-3</v>
      </c>
      <c r="R47" s="2397"/>
      <c r="S47" s="2396"/>
      <c r="T47" s="2381"/>
      <c r="U47" s="2381"/>
      <c r="V47" s="2381"/>
    </row>
    <row r="48" spans="1:34" ht="13.5" thickBot="1">
      <c r="A48" s="2393" t="s">
        <v>1082</v>
      </c>
      <c r="B48" s="2394">
        <f t="shared" si="214"/>
        <v>276.29854502841971</v>
      </c>
      <c r="C48" s="2394">
        <f t="shared" si="214"/>
        <v>229.79023709833027</v>
      </c>
      <c r="D48" s="2394">
        <f t="shared" si="202"/>
        <v>229.79023709833027</v>
      </c>
      <c r="E48" s="2394">
        <f t="shared" si="215"/>
        <v>379.78759731655936</v>
      </c>
      <c r="F48" s="2394">
        <f t="shared" si="215"/>
        <v>211.32953905659235</v>
      </c>
      <c r="G48" s="3696">
        <v>2011</v>
      </c>
      <c r="H48" s="2395">
        <v>1</v>
      </c>
      <c r="I48" s="2395">
        <v>2.65</v>
      </c>
      <c r="J48" s="2395">
        <v>3.76</v>
      </c>
      <c r="K48" s="2395">
        <v>1.89</v>
      </c>
      <c r="L48" s="2401">
        <v>7.95</v>
      </c>
      <c r="N48" s="2412">
        <f t="shared" si="204"/>
        <v>2.6499999999999999E-2</v>
      </c>
      <c r="O48" s="2413">
        <f t="shared" si="204"/>
        <v>3.7599999999999995E-2</v>
      </c>
      <c r="P48" s="2413">
        <f t="shared" si="204"/>
        <v>1.89E-2</v>
      </c>
      <c r="Q48" s="2413">
        <f t="shared" si="204"/>
        <v>7.9500000000000001E-2</v>
      </c>
      <c r="R48" s="2397"/>
      <c r="S48" s="2412">
        <f>B48/B49-1</f>
        <v>2.713213765211786E-2</v>
      </c>
      <c r="T48" s="2413">
        <f>C48/C49-1</f>
        <v>3.9774828499231862E-2</v>
      </c>
      <c r="U48" s="2413">
        <f>E48/E49-1</f>
        <v>1.8197311840641772E-2</v>
      </c>
      <c r="V48" s="2413">
        <f>F48/F49-1</f>
        <v>7.8211933962205826E-2</v>
      </c>
      <c r="X48" s="2381"/>
      <c r="Y48" s="2381"/>
      <c r="Z48" s="2381"/>
    </row>
    <row r="49" spans="1:26" ht="13.5" thickBot="1">
      <c r="A49" s="2393" t="s">
        <v>1083</v>
      </c>
      <c r="B49" s="2408">
        <v>269</v>
      </c>
      <c r="C49" s="2408">
        <v>221</v>
      </c>
      <c r="D49" s="2408">
        <f t="shared" si="202"/>
        <v>221</v>
      </c>
      <c r="E49" s="2408">
        <v>373</v>
      </c>
      <c r="F49" s="2409">
        <v>196</v>
      </c>
      <c r="G49" s="3694">
        <v>2010</v>
      </c>
      <c r="H49" s="2414">
        <v>4</v>
      </c>
      <c r="I49" s="2414">
        <v>5.72</v>
      </c>
      <c r="J49" s="2414">
        <v>6.57</v>
      </c>
      <c r="K49" s="2414">
        <v>5.72</v>
      </c>
      <c r="L49" s="2415">
        <v>2.72</v>
      </c>
      <c r="N49" s="2396">
        <f t="shared" si="204"/>
        <v>5.7200000000000001E-2</v>
      </c>
      <c r="O49" s="2381">
        <f t="shared" si="204"/>
        <v>6.5700000000000008E-2</v>
      </c>
      <c r="P49" s="2381">
        <f t="shared" si="204"/>
        <v>5.7200000000000001E-2</v>
      </c>
      <c r="Q49" s="2381">
        <f t="shared" si="204"/>
        <v>2.7200000000000002E-2</v>
      </c>
      <c r="R49" s="2397"/>
      <c r="S49" s="2410"/>
      <c r="T49" s="2411"/>
      <c r="U49" s="2411"/>
      <c r="V49" s="2411"/>
      <c r="X49" s="2411"/>
      <c r="Y49" s="2411"/>
      <c r="Z49" s="2411"/>
    </row>
    <row r="50" spans="1:26">
      <c r="A50" s="2393" t="s">
        <v>1084</v>
      </c>
      <c r="B50" s="2394">
        <f t="shared" ref="B50:C52" si="216">B49/(1+N49)</f>
        <v>254.44570563753314</v>
      </c>
      <c r="C50" s="2394">
        <f t="shared" si="216"/>
        <v>207.37543398705074</v>
      </c>
      <c r="D50" s="2394">
        <f t="shared" si="202"/>
        <v>207.37543398705074</v>
      </c>
      <c r="E50" s="2394">
        <f t="shared" ref="E50:F52" si="217">E49/(1+P49)</f>
        <v>352.81876655315932</v>
      </c>
      <c r="F50" s="2394">
        <f t="shared" si="217"/>
        <v>190.809968847352</v>
      </c>
      <c r="G50" s="3695">
        <v>2010</v>
      </c>
      <c r="H50" s="2419">
        <v>3</v>
      </c>
      <c r="I50" s="2419">
        <v>4.7300000000000004</v>
      </c>
      <c r="J50" s="2419">
        <v>3.9</v>
      </c>
      <c r="K50" s="2419">
        <v>5.03</v>
      </c>
      <c r="L50" s="2420">
        <v>4.21</v>
      </c>
      <c r="N50" s="2396">
        <f t="shared" si="204"/>
        <v>4.7300000000000002E-2</v>
      </c>
      <c r="O50" s="2381">
        <f t="shared" si="204"/>
        <v>3.9E-2</v>
      </c>
      <c r="P50" s="2381">
        <f t="shared" si="204"/>
        <v>5.0300000000000004E-2</v>
      </c>
      <c r="Q50" s="2381">
        <f t="shared" si="204"/>
        <v>4.2099999999999999E-2</v>
      </c>
      <c r="R50" s="2397"/>
      <c r="S50" s="2396"/>
      <c r="T50" s="2381"/>
      <c r="U50" s="2381"/>
      <c r="V50" s="2381"/>
    </row>
    <row r="51" spans="1:26">
      <c r="A51" s="2393" t="s">
        <v>1085</v>
      </c>
      <c r="B51" s="2394">
        <f t="shared" si="216"/>
        <v>242.95398227588385</v>
      </c>
      <c r="C51" s="2394">
        <f t="shared" si="216"/>
        <v>199.59137053614126</v>
      </c>
      <c r="D51" s="2394">
        <f t="shared" si="202"/>
        <v>199.59137053614126</v>
      </c>
      <c r="E51" s="2394">
        <f t="shared" si="217"/>
        <v>335.92189522342125</v>
      </c>
      <c r="F51" s="2394">
        <f t="shared" si="217"/>
        <v>183.10139991109489</v>
      </c>
      <c r="G51" s="3695">
        <v>2010</v>
      </c>
      <c r="H51" s="2406">
        <v>2</v>
      </c>
      <c r="I51" s="2406">
        <v>4.6900000000000004</v>
      </c>
      <c r="J51" s="2406">
        <v>3.55</v>
      </c>
      <c r="K51" s="2406">
        <v>5.07</v>
      </c>
      <c r="L51" s="2407">
        <v>4.2300000000000004</v>
      </c>
      <c r="N51" s="2396">
        <f t="shared" si="204"/>
        <v>4.6900000000000004E-2</v>
      </c>
      <c r="O51" s="2381">
        <f t="shared" si="204"/>
        <v>3.5499999999999997E-2</v>
      </c>
      <c r="P51" s="2381">
        <f t="shared" si="204"/>
        <v>5.0700000000000002E-2</v>
      </c>
      <c r="Q51" s="2381">
        <f t="shared" si="204"/>
        <v>4.2300000000000004E-2</v>
      </c>
      <c r="R51" s="2397"/>
      <c r="S51" s="2396"/>
      <c r="T51" s="2381"/>
      <c r="U51" s="2381"/>
      <c r="V51" s="2381"/>
    </row>
    <row r="52" spans="1:26" ht="13.5" thickBot="1">
      <c r="A52" s="2393" t="s">
        <v>1086</v>
      </c>
      <c r="B52" s="2394">
        <f t="shared" si="216"/>
        <v>232.06990378821649</v>
      </c>
      <c r="C52" s="2394">
        <f t="shared" si="216"/>
        <v>192.74878854286936</v>
      </c>
      <c r="D52" s="2394">
        <f t="shared" si="202"/>
        <v>192.74878854286936</v>
      </c>
      <c r="E52" s="2394">
        <f t="shared" si="217"/>
        <v>319.71247284992984</v>
      </c>
      <c r="F52" s="2394">
        <f t="shared" si="217"/>
        <v>175.67053622862409</v>
      </c>
      <c r="G52" s="3696">
        <v>2010</v>
      </c>
      <c r="H52" s="2395">
        <v>1</v>
      </c>
      <c r="I52" s="2395">
        <v>5.4</v>
      </c>
      <c r="J52" s="2395">
        <v>3.2</v>
      </c>
      <c r="K52" s="2395">
        <v>6.16</v>
      </c>
      <c r="L52" s="2401">
        <v>4.51</v>
      </c>
      <c r="N52" s="2396">
        <f t="shared" si="204"/>
        <v>5.4000000000000006E-2</v>
      </c>
      <c r="O52" s="2381">
        <f t="shared" si="204"/>
        <v>3.2000000000000001E-2</v>
      </c>
      <c r="P52" s="2381">
        <f t="shared" si="204"/>
        <v>6.1600000000000002E-2</v>
      </c>
      <c r="Q52" s="2381">
        <f t="shared" si="204"/>
        <v>4.5100000000000001E-2</v>
      </c>
      <c r="R52" s="2397"/>
      <c r="S52" s="2412">
        <f>B52/B53-1</f>
        <v>5.4863199037347599E-2</v>
      </c>
      <c r="T52" s="2413">
        <f>C52/C53-1</f>
        <v>3.0742184721226584E-2</v>
      </c>
      <c r="U52" s="2413">
        <f>E52/E53-1</f>
        <v>6.2167683886810154E-2</v>
      </c>
      <c r="V52" s="2413">
        <f>F52/F53-1</f>
        <v>4.5657953741810031E-2</v>
      </c>
      <c r="X52" s="2381"/>
      <c r="Y52" s="2381"/>
      <c r="Z52" s="2381"/>
    </row>
    <row r="53" spans="1:26" ht="13.5" thickBot="1">
      <c r="A53" s="2393" t="s">
        <v>1087</v>
      </c>
      <c r="B53" s="2408">
        <v>220</v>
      </c>
      <c r="C53" s="2408">
        <v>187</v>
      </c>
      <c r="D53" s="2408">
        <f t="shared" si="202"/>
        <v>187</v>
      </c>
      <c r="E53" s="2408">
        <v>301</v>
      </c>
      <c r="F53" s="2409">
        <v>168</v>
      </c>
      <c r="G53" s="3694">
        <v>2009</v>
      </c>
      <c r="H53" s="2414">
        <v>4</v>
      </c>
      <c r="I53" s="2414">
        <v>2.2999999999999998</v>
      </c>
      <c r="J53" s="2414">
        <v>1.04</v>
      </c>
      <c r="K53" s="2414">
        <v>2.84</v>
      </c>
      <c r="L53" s="2415">
        <v>0.67</v>
      </c>
      <c r="N53" s="2416">
        <f t="shared" si="204"/>
        <v>2.3E-2</v>
      </c>
      <c r="O53" s="2417">
        <f t="shared" si="204"/>
        <v>1.04E-2</v>
      </c>
      <c r="P53" s="2417">
        <f t="shared" si="204"/>
        <v>2.8399999999999998E-2</v>
      </c>
      <c r="Q53" s="2417">
        <f t="shared" si="204"/>
        <v>6.7000000000000002E-3</v>
      </c>
      <c r="R53" s="2397"/>
      <c r="S53" s="2410"/>
      <c r="T53" s="2411"/>
      <c r="U53" s="2411"/>
      <c r="V53" s="2411"/>
      <c r="X53" s="2411"/>
      <c r="Y53" s="2411"/>
      <c r="Z53" s="2411"/>
    </row>
    <row r="54" spans="1:26">
      <c r="A54" s="2393" t="s">
        <v>1088</v>
      </c>
      <c r="B54" s="2394">
        <f t="shared" ref="B54:C56" si="218">B53/(1+N53)</f>
        <v>215.05376344086022</v>
      </c>
      <c r="C54" s="2394">
        <f t="shared" si="218"/>
        <v>185.0752177355503</v>
      </c>
      <c r="D54" s="2394">
        <f t="shared" si="202"/>
        <v>185.0752177355503</v>
      </c>
      <c r="E54" s="2394">
        <f t="shared" ref="E54:F56" si="219">E53/(1+P53)</f>
        <v>292.68767016725008</v>
      </c>
      <c r="F54" s="2394">
        <f t="shared" si="219"/>
        <v>166.88189132810174</v>
      </c>
      <c r="G54" s="3695">
        <v>2009</v>
      </c>
      <c r="H54" s="2419">
        <v>3</v>
      </c>
      <c r="I54" s="2419">
        <v>2.1</v>
      </c>
      <c r="J54" s="2419">
        <v>1.86</v>
      </c>
      <c r="K54" s="2419">
        <v>2.29</v>
      </c>
      <c r="L54" s="2420">
        <v>0.85</v>
      </c>
      <c r="N54" s="2396">
        <f t="shared" si="204"/>
        <v>2.1000000000000001E-2</v>
      </c>
      <c r="O54" s="2421">
        <f t="shared" si="204"/>
        <v>1.8600000000000002E-2</v>
      </c>
      <c r="P54" s="2421">
        <f t="shared" si="204"/>
        <v>2.29E-2</v>
      </c>
      <c r="Q54" s="2421">
        <f t="shared" si="204"/>
        <v>8.5000000000000006E-3</v>
      </c>
      <c r="R54" s="2397"/>
      <c r="S54" s="2396"/>
      <c r="T54" s="2381"/>
      <c r="U54" s="2381"/>
      <c r="V54" s="2381"/>
    </row>
    <row r="55" spans="1:26">
      <c r="A55" s="2393" t="s">
        <v>1089</v>
      </c>
      <c r="B55" s="2394">
        <f t="shared" si="218"/>
        <v>210.630522469011</v>
      </c>
      <c r="C55" s="2394">
        <f t="shared" si="218"/>
        <v>181.69567812247232</v>
      </c>
      <c r="D55" s="2394">
        <f t="shared" si="202"/>
        <v>181.69567812247232</v>
      </c>
      <c r="E55" s="2394">
        <f t="shared" si="219"/>
        <v>286.13517466736738</v>
      </c>
      <c r="F55" s="2394">
        <f t="shared" si="219"/>
        <v>165.47535084591149</v>
      </c>
      <c r="G55" s="3695">
        <v>2009</v>
      </c>
      <c r="H55" s="2406">
        <v>2</v>
      </c>
      <c r="I55" s="2406">
        <v>0.86</v>
      </c>
      <c r="J55" s="2406">
        <v>-1.1299999999999999</v>
      </c>
      <c r="K55" s="2406">
        <v>1.79</v>
      </c>
      <c r="L55" s="2407">
        <v>-2.0699999999999998</v>
      </c>
      <c r="N55" s="2396">
        <f t="shared" si="204"/>
        <v>8.6E-3</v>
      </c>
      <c r="O55" s="2421">
        <f t="shared" si="204"/>
        <v>-1.1299999999999999E-2</v>
      </c>
      <c r="P55" s="2421">
        <f t="shared" si="204"/>
        <v>1.7899999999999999E-2</v>
      </c>
      <c r="Q55" s="2421">
        <f t="shared" si="204"/>
        <v>-2.07E-2</v>
      </c>
      <c r="R55" s="2397"/>
      <c r="S55" s="2396"/>
      <c r="T55" s="2381"/>
      <c r="U55" s="2381"/>
      <c r="V55" s="2381"/>
    </row>
    <row r="56" spans="1:26">
      <c r="A56" s="2393" t="s">
        <v>1090</v>
      </c>
      <c r="B56" s="2394">
        <f t="shared" si="218"/>
        <v>208.83454537875372</v>
      </c>
      <c r="C56" s="2394">
        <f t="shared" si="218"/>
        <v>183.77230517090351</v>
      </c>
      <c r="D56" s="2394">
        <f t="shared" si="202"/>
        <v>183.77230517090351</v>
      </c>
      <c r="E56" s="2394">
        <f t="shared" si="219"/>
        <v>281.10342338870947</v>
      </c>
      <c r="F56" s="2394">
        <f t="shared" si="219"/>
        <v>168.97309388942256</v>
      </c>
      <c r="G56" s="3696">
        <v>2009</v>
      </c>
      <c r="H56" s="2395">
        <v>1</v>
      </c>
      <c r="I56" s="2395">
        <v>-2.64</v>
      </c>
      <c r="J56" s="2395">
        <v>-2.5299999999999998</v>
      </c>
      <c r="K56" s="2395">
        <v>-3.02</v>
      </c>
      <c r="L56" s="2401">
        <v>1.52</v>
      </c>
      <c r="N56" s="2412">
        <f t="shared" si="204"/>
        <v>-2.64E-2</v>
      </c>
      <c r="O56" s="2413">
        <f t="shared" si="204"/>
        <v>-2.53E-2</v>
      </c>
      <c r="P56" s="2413">
        <f t="shared" si="204"/>
        <v>-3.0200000000000001E-2</v>
      </c>
      <c r="Q56" s="2413">
        <f t="shared" si="204"/>
        <v>1.52E-2</v>
      </c>
      <c r="R56" s="2397"/>
      <c r="S56" s="2412">
        <f>B56/B57-1</f>
        <v>-2.4137638417038754E-2</v>
      </c>
      <c r="T56" s="2413">
        <f>C56/C57-1</f>
        <v>-2.248773845264096E-2</v>
      </c>
      <c r="U56" s="2413">
        <f>E56/E57-1</f>
        <v>-2.7323794502735366E-2</v>
      </c>
      <c r="V56" s="2413">
        <f>F56/F57-1</f>
        <v>1.7910204153148035E-2</v>
      </c>
      <c r="X56" s="2381"/>
      <c r="Y56" s="2381"/>
      <c r="Z56" s="2381"/>
    </row>
    <row r="57" spans="1:26" ht="13.5" thickBot="1">
      <c r="A57" s="2393" t="s">
        <v>1091</v>
      </c>
      <c r="B57" s="2443">
        <v>214</v>
      </c>
      <c r="C57" s="2443">
        <v>188</v>
      </c>
      <c r="D57" s="2443">
        <f t="shared" si="202"/>
        <v>188</v>
      </c>
      <c r="E57" s="2443">
        <v>289</v>
      </c>
      <c r="F57" s="2444">
        <v>166</v>
      </c>
      <c r="G57" s="3694">
        <v>2008</v>
      </c>
      <c r="H57" s="2414">
        <v>4</v>
      </c>
      <c r="I57" s="2414">
        <v>1.73</v>
      </c>
      <c r="J57" s="2414">
        <v>0.03</v>
      </c>
      <c r="K57" s="2414">
        <v>2.59</v>
      </c>
      <c r="L57" s="2415">
        <v>-1.66</v>
      </c>
      <c r="N57" s="2396">
        <f t="shared" si="204"/>
        <v>1.7299999999999999E-2</v>
      </c>
      <c r="O57" s="2381">
        <f t="shared" si="204"/>
        <v>2.9999999999999997E-4</v>
      </c>
      <c r="P57" s="2381">
        <f t="shared" si="204"/>
        <v>2.5899999999999999E-2</v>
      </c>
      <c r="Q57" s="2381">
        <f t="shared" si="204"/>
        <v>-1.66E-2</v>
      </c>
      <c r="R57" s="2397"/>
      <c r="S57" s="2410"/>
      <c r="T57" s="2411"/>
      <c r="U57" s="2411"/>
      <c r="V57" s="2411"/>
      <c r="X57" s="2411"/>
      <c r="Y57" s="2411"/>
      <c r="Z57" s="2411"/>
    </row>
    <row r="58" spans="1:26">
      <c r="A58" s="2393" t="s">
        <v>1092</v>
      </c>
      <c r="B58" s="2394">
        <f t="shared" ref="B58:C60" si="220">B57/(1+N57)</f>
        <v>210.36075887152265</v>
      </c>
      <c r="C58" s="2394">
        <f t="shared" si="220"/>
        <v>187.94361691492554</v>
      </c>
      <c r="D58" s="2394">
        <f t="shared" si="202"/>
        <v>187.94361691492554</v>
      </c>
      <c r="E58" s="2394">
        <f t="shared" ref="E58:F60" si="221">E57/(1+P57)</f>
        <v>281.70386977288234</v>
      </c>
      <c r="F58" s="2394">
        <f t="shared" si="221"/>
        <v>168.80211511083994</v>
      </c>
      <c r="G58" s="3695">
        <v>2008</v>
      </c>
      <c r="H58" s="2419">
        <v>3</v>
      </c>
      <c r="I58" s="2419">
        <v>1.96</v>
      </c>
      <c r="J58" s="2419">
        <v>2.36</v>
      </c>
      <c r="K58" s="2419">
        <v>1.82</v>
      </c>
      <c r="L58" s="2420">
        <v>2.2200000000000002</v>
      </c>
      <c r="N58" s="2396">
        <f t="shared" si="204"/>
        <v>1.9599999999999999E-2</v>
      </c>
      <c r="O58" s="2381">
        <f t="shared" si="204"/>
        <v>2.3599999999999999E-2</v>
      </c>
      <c r="P58" s="2381">
        <f t="shared" si="204"/>
        <v>1.8200000000000001E-2</v>
      </c>
      <c r="Q58" s="2381">
        <f t="shared" si="204"/>
        <v>2.2200000000000001E-2</v>
      </c>
      <c r="R58" s="2397"/>
      <c r="S58" s="2396"/>
      <c r="T58" s="2381"/>
      <c r="U58" s="2381"/>
      <c r="V58" s="2381"/>
    </row>
    <row r="59" spans="1:26">
      <c r="A59" s="2393" t="s">
        <v>1093</v>
      </c>
      <c r="B59" s="2394">
        <f t="shared" si="220"/>
        <v>206.31694671589116</v>
      </c>
      <c r="C59" s="2394">
        <f t="shared" si="220"/>
        <v>183.61041121036101</v>
      </c>
      <c r="D59" s="2394">
        <f t="shared" si="202"/>
        <v>183.61041121036101</v>
      </c>
      <c r="E59" s="2394">
        <f t="shared" si="221"/>
        <v>276.66850301795557</v>
      </c>
      <c r="F59" s="2394">
        <f t="shared" si="221"/>
        <v>165.1360938278614</v>
      </c>
      <c r="G59" s="3695">
        <v>2008</v>
      </c>
      <c r="H59" s="2406">
        <v>2</v>
      </c>
      <c r="I59" s="2406">
        <v>4.93</v>
      </c>
      <c r="J59" s="2406">
        <v>7.38</v>
      </c>
      <c r="K59" s="2406">
        <v>3.98</v>
      </c>
      <c r="L59" s="2407">
        <v>6.86</v>
      </c>
      <c r="N59" s="2396">
        <f t="shared" si="204"/>
        <v>4.9299999999999997E-2</v>
      </c>
      <c r="O59" s="2381">
        <f t="shared" si="204"/>
        <v>7.3800000000000004E-2</v>
      </c>
      <c r="P59" s="2381">
        <f t="shared" si="204"/>
        <v>3.9800000000000002E-2</v>
      </c>
      <c r="Q59" s="2381">
        <f t="shared" si="204"/>
        <v>6.8600000000000008E-2</v>
      </c>
      <c r="R59" s="2397"/>
      <c r="S59" s="2396"/>
      <c r="T59" s="2381"/>
      <c r="U59" s="2381"/>
      <c r="V59" s="2381"/>
    </row>
    <row r="60" spans="1:26" s="2449" customFormat="1" ht="13.5" thickBot="1">
      <c r="A60" s="2393" t="s">
        <v>1094</v>
      </c>
      <c r="B60" s="2446">
        <f t="shared" si="220"/>
        <v>196.62341248059772</v>
      </c>
      <c r="C60" s="2446">
        <f t="shared" si="220"/>
        <v>170.99125648199012</v>
      </c>
      <c r="D60" s="2446">
        <f t="shared" si="202"/>
        <v>170.99125648199012</v>
      </c>
      <c r="E60" s="2446">
        <f t="shared" si="221"/>
        <v>266.07857570490052</v>
      </c>
      <c r="F60" s="2446">
        <f t="shared" si="221"/>
        <v>154.53499328828505</v>
      </c>
      <c r="G60" s="3696">
        <v>2008</v>
      </c>
      <c r="H60" s="2447">
        <v>1</v>
      </c>
      <c r="I60" s="2447">
        <v>4.1399999999999997</v>
      </c>
      <c r="J60" s="2447">
        <v>3.45</v>
      </c>
      <c r="K60" s="2447">
        <v>4.95</v>
      </c>
      <c r="L60" s="2448">
        <v>4.82</v>
      </c>
      <c r="N60" s="2450">
        <f t="shared" si="204"/>
        <v>4.1399999999999999E-2</v>
      </c>
      <c r="O60" s="2451">
        <f t="shared" si="204"/>
        <v>3.4500000000000003E-2</v>
      </c>
      <c r="P60" s="2451">
        <f t="shared" si="204"/>
        <v>4.9500000000000002E-2</v>
      </c>
      <c r="Q60" s="2451">
        <f t="shared" si="204"/>
        <v>4.82E-2</v>
      </c>
      <c r="R60" s="2452"/>
      <c r="S60" s="2450">
        <f>B60/B61-1</f>
        <v>4.5869215322328349E-2</v>
      </c>
      <c r="T60" s="2451">
        <f>C60/C61-1</f>
        <v>3.6310645345394743E-2</v>
      </c>
      <c r="U60" s="2451">
        <f>E60/E61-1</f>
        <v>4.7553447657088688E-2</v>
      </c>
      <c r="V60" s="2451">
        <f>F60/F61-1</f>
        <v>4.4155360055980086E-2</v>
      </c>
      <c r="X60" s="2451"/>
      <c r="Y60" s="2451"/>
      <c r="Z60" s="2451"/>
    </row>
    <row r="61" spans="1:26" ht="13.5" thickBot="1">
      <c r="A61" s="2393" t="s">
        <v>1095</v>
      </c>
      <c r="B61" s="2408">
        <v>188</v>
      </c>
      <c r="C61" s="2408">
        <v>165</v>
      </c>
      <c r="D61" s="2408">
        <f t="shared" si="202"/>
        <v>165</v>
      </c>
      <c r="E61" s="2408">
        <v>254</v>
      </c>
      <c r="F61" s="2409">
        <v>148</v>
      </c>
      <c r="G61" s="3694">
        <v>2007</v>
      </c>
      <c r="H61" s="2453">
        <v>4</v>
      </c>
      <c r="I61" s="2453">
        <v>5.51</v>
      </c>
      <c r="J61" s="2453">
        <v>4.8899999999999997</v>
      </c>
      <c r="K61" s="2453">
        <v>6.43</v>
      </c>
      <c r="L61" s="2454">
        <v>5.36</v>
      </c>
      <c r="N61" s="2455">
        <f t="shared" ref="N61:O64" si="222">B61/B62-1</f>
        <v>4.1339718365245526E-2</v>
      </c>
      <c r="O61" s="2456">
        <f t="shared" si="222"/>
        <v>4.0324492593776018E-2</v>
      </c>
      <c r="P61" s="2456">
        <f t="shared" ref="P61:Q64" si="223">E61/E62-1</f>
        <v>6.1625555347990968E-2</v>
      </c>
      <c r="Q61" s="2456">
        <f t="shared" si="223"/>
        <v>4.6757569250590603E-2</v>
      </c>
      <c r="R61" s="2397"/>
      <c r="S61" s="2410"/>
      <c r="T61" s="2411"/>
      <c r="U61" s="2411"/>
      <c r="V61" s="2411"/>
      <c r="X61" s="2411"/>
      <c r="Y61" s="2411"/>
      <c r="Z61" s="2411"/>
    </row>
    <row r="62" spans="1:26">
      <c r="A62" s="2393" t="s">
        <v>1096</v>
      </c>
      <c r="B62" s="2394">
        <f t="shared" ref="B62:C64" si="224">B63+(B$61-B$65)*I62/SUM(I$61:I$64)</f>
        <v>180.5366651097618</v>
      </c>
      <c r="C62" s="2394">
        <f t="shared" si="224"/>
        <v>158.60435967302453</v>
      </c>
      <c r="D62" s="2394">
        <f t="shared" si="202"/>
        <v>158.60435967302453</v>
      </c>
      <c r="E62" s="2394">
        <f t="shared" ref="E62:F64" si="225">E63+(E$61-E$65)*K62/SUM(K$61:K$64)</f>
        <v>239.25573260785075</v>
      </c>
      <c r="F62" s="2394">
        <f t="shared" si="225"/>
        <v>141.38899430740037</v>
      </c>
      <c r="G62" s="3695">
        <v>2007</v>
      </c>
      <c r="H62" s="2419">
        <v>3</v>
      </c>
      <c r="I62" s="2419">
        <v>8.65</v>
      </c>
      <c r="J62" s="2419">
        <v>8.06</v>
      </c>
      <c r="K62" s="2419">
        <v>9.94</v>
      </c>
      <c r="L62" s="2420">
        <v>5.8</v>
      </c>
      <c r="N62" s="2455">
        <f t="shared" si="222"/>
        <v>6.940217571740015E-2</v>
      </c>
      <c r="O62" s="2456">
        <f t="shared" si="222"/>
        <v>7.1197482471153428E-2</v>
      </c>
      <c r="P62" s="2456">
        <f t="shared" si="223"/>
        <v>0.10529679922579582</v>
      </c>
      <c r="Q62" s="2456">
        <f t="shared" si="223"/>
        <v>5.3292245059512133E-2</v>
      </c>
      <c r="R62" s="2397"/>
      <c r="S62" s="2396"/>
      <c r="T62" s="2381"/>
      <c r="U62" s="2381"/>
      <c r="V62" s="2381"/>
      <c r="X62" s="2457"/>
      <c r="Y62" s="2457"/>
      <c r="Z62" s="2457"/>
    </row>
    <row r="63" spans="1:26">
      <c r="A63" s="2393" t="s">
        <v>1097</v>
      </c>
      <c r="B63" s="2394">
        <f t="shared" si="224"/>
        <v>168.82017748715555</v>
      </c>
      <c r="C63" s="2394">
        <f t="shared" si="224"/>
        <v>148.06267029972753</v>
      </c>
      <c r="D63" s="2394">
        <f t="shared" si="202"/>
        <v>148.06267029972753</v>
      </c>
      <c r="E63" s="2394">
        <f t="shared" si="225"/>
        <v>216.46288379323747</v>
      </c>
      <c r="F63" s="2394">
        <f t="shared" si="225"/>
        <v>134.23529411764704</v>
      </c>
      <c r="G63" s="3695">
        <v>2007</v>
      </c>
      <c r="H63" s="2406">
        <v>2</v>
      </c>
      <c r="I63" s="2406">
        <v>3.67</v>
      </c>
      <c r="J63" s="2406">
        <v>2.3199999999999998</v>
      </c>
      <c r="K63" s="2406">
        <v>5.0199999999999996</v>
      </c>
      <c r="L63" s="2407">
        <v>6.71</v>
      </c>
      <c r="N63" s="2455">
        <f t="shared" si="222"/>
        <v>3.0339138143848032E-2</v>
      </c>
      <c r="O63" s="2456">
        <f t="shared" si="222"/>
        <v>2.0922341588790472E-2</v>
      </c>
      <c r="P63" s="2456">
        <f t="shared" si="223"/>
        <v>5.6164796592717003E-2</v>
      </c>
      <c r="Q63" s="2456">
        <f t="shared" si="223"/>
        <v>6.5704536723887319E-2</v>
      </c>
      <c r="R63" s="2397"/>
      <c r="S63" s="2396"/>
      <c r="T63" s="2381"/>
      <c r="U63" s="2381"/>
      <c r="V63" s="2381"/>
      <c r="X63" s="2457"/>
      <c r="Y63" s="2457"/>
      <c r="Z63" s="2457"/>
    </row>
    <row r="64" spans="1:26">
      <c r="A64" s="2393" t="s">
        <v>1098</v>
      </c>
      <c r="B64" s="2394">
        <f t="shared" si="224"/>
        <v>163.84913591779542</v>
      </c>
      <c r="C64" s="2394">
        <f t="shared" si="224"/>
        <v>145.0283378746594</v>
      </c>
      <c r="D64" s="2394">
        <f t="shared" si="202"/>
        <v>145.0283378746594</v>
      </c>
      <c r="E64" s="2394">
        <f t="shared" si="225"/>
        <v>204.95180722891567</v>
      </c>
      <c r="F64" s="2394">
        <f t="shared" si="225"/>
        <v>125.95920303605313</v>
      </c>
      <c r="G64" s="3696">
        <v>2007</v>
      </c>
      <c r="H64" s="2395">
        <v>1</v>
      </c>
      <c r="I64" s="2395">
        <v>3.58</v>
      </c>
      <c r="J64" s="2395">
        <v>3.08</v>
      </c>
      <c r="K64" s="2395">
        <v>4.34</v>
      </c>
      <c r="L64" s="2401">
        <v>3.21</v>
      </c>
      <c r="N64" s="2458">
        <f t="shared" si="222"/>
        <v>3.0497710174814063E-2</v>
      </c>
      <c r="O64" s="2459">
        <f t="shared" si="222"/>
        <v>2.8569772160704998E-2</v>
      </c>
      <c r="P64" s="2459">
        <f t="shared" si="223"/>
        <v>5.1034908866234296E-2</v>
      </c>
      <c r="Q64" s="2459">
        <f t="shared" si="223"/>
        <v>3.245248390207478E-2</v>
      </c>
      <c r="R64" s="2397"/>
      <c r="S64" s="2412">
        <f>B64/B65-1</f>
        <v>3.0497710174814063E-2</v>
      </c>
      <c r="T64" s="2413">
        <f>C64/C65-1</f>
        <v>2.8569772160704998E-2</v>
      </c>
      <c r="U64" s="2413">
        <f>E64/E65-1</f>
        <v>5.1034908866234296E-2</v>
      </c>
      <c r="V64" s="2413">
        <f>F64/F65-1</f>
        <v>3.245248390207478E-2</v>
      </c>
      <c r="X64" s="2457"/>
      <c r="Y64" s="2457"/>
      <c r="Z64" s="2457"/>
    </row>
    <row r="65" spans="1:26" ht="13.5" thickBot="1">
      <c r="A65" s="2393" t="s">
        <v>1099</v>
      </c>
      <c r="B65" s="2422">
        <v>159</v>
      </c>
      <c r="C65" s="2422">
        <v>141</v>
      </c>
      <c r="D65" s="2422">
        <f t="shared" si="202"/>
        <v>141</v>
      </c>
      <c r="E65" s="2422">
        <v>195</v>
      </c>
      <c r="F65" s="2423">
        <v>122</v>
      </c>
      <c r="G65" s="3694">
        <v>2006</v>
      </c>
      <c r="H65" s="2414">
        <v>4</v>
      </c>
      <c r="I65" s="2414">
        <v>3.79</v>
      </c>
      <c r="J65" s="2414">
        <v>2.21</v>
      </c>
      <c r="K65" s="2414">
        <v>5.65</v>
      </c>
      <c r="L65" s="2415">
        <v>5.41</v>
      </c>
      <c r="N65" s="2455">
        <f t="shared" ref="N65:O68" si="226">I65/SUM(I$65:I$68)*(B$65/B$69-1)</f>
        <v>7.245466462748526E-2</v>
      </c>
      <c r="O65" s="2456">
        <f t="shared" si="226"/>
        <v>2.3237230038062766E-2</v>
      </c>
      <c r="P65" s="2456">
        <f t="shared" ref="P65:Q68" si="227">K65/SUM(K$65:K$68)*(E$65/E$69-1)</f>
        <v>0.16146893866323722</v>
      </c>
      <c r="Q65" s="2456">
        <f t="shared" si="227"/>
        <v>5.0755230321793784E-2</v>
      </c>
      <c r="R65" s="2397"/>
      <c r="S65" s="2410"/>
      <c r="T65" s="2411"/>
      <c r="U65" s="2411"/>
      <c r="V65" s="2411"/>
      <c r="X65" s="2457"/>
      <c r="Y65" s="2457"/>
      <c r="Z65" s="2457"/>
    </row>
    <row r="66" spans="1:26">
      <c r="A66" s="2393" t="s">
        <v>1100</v>
      </c>
      <c r="B66" s="2394">
        <f t="shared" ref="B66:C68" si="228">B67+(B$65-B$69)*I66/SUM(I$65:I$68)</f>
        <v>149.00125628140702</v>
      </c>
      <c r="C66" s="2394">
        <f t="shared" si="228"/>
        <v>137.95592286501378</v>
      </c>
      <c r="D66" s="2394">
        <f t="shared" si="202"/>
        <v>137.95592286501378</v>
      </c>
      <c r="E66" s="2394">
        <f t="shared" ref="E66:F68" si="229">E67+(E$65-E$69)*K66/SUM(K$65:K$68)</f>
        <v>169.97231450719823</v>
      </c>
      <c r="F66" s="2394">
        <f t="shared" si="229"/>
        <v>116.21390374331551</v>
      </c>
      <c r="G66" s="3695">
        <v>2006</v>
      </c>
      <c r="H66" s="2419">
        <v>3</v>
      </c>
      <c r="I66" s="2419">
        <v>0.92</v>
      </c>
      <c r="J66" s="2419">
        <v>1.08</v>
      </c>
      <c r="K66" s="2419">
        <v>0.73</v>
      </c>
      <c r="L66" s="2420">
        <v>1.08</v>
      </c>
      <c r="N66" s="2455">
        <f t="shared" si="226"/>
        <v>1.7587939698492462E-2</v>
      </c>
      <c r="O66" s="2456">
        <f t="shared" si="226"/>
        <v>1.1355750425840628E-2</v>
      </c>
      <c r="P66" s="2456">
        <f t="shared" si="227"/>
        <v>2.0862358446754544E-2</v>
      </c>
      <c r="Q66" s="2456">
        <f t="shared" si="227"/>
        <v>1.0132282578103011E-2</v>
      </c>
      <c r="R66" s="2397"/>
      <c r="S66" s="2396"/>
      <c r="T66" s="2381"/>
      <c r="U66" s="2381"/>
      <c r="V66" s="2381"/>
      <c r="X66" s="2457"/>
      <c r="Y66" s="2457"/>
      <c r="Z66" s="2457"/>
    </row>
    <row r="67" spans="1:26">
      <c r="A67" s="2393" t="s">
        <v>1101</v>
      </c>
      <c r="B67" s="2394">
        <f t="shared" si="228"/>
        <v>146.57412060301507</v>
      </c>
      <c r="C67" s="2394">
        <f t="shared" si="228"/>
        <v>136.46831955922866</v>
      </c>
      <c r="D67" s="2394">
        <f t="shared" si="202"/>
        <v>136.46831955922866</v>
      </c>
      <c r="E67" s="2394">
        <f t="shared" si="229"/>
        <v>166.73864894795128</v>
      </c>
      <c r="F67" s="2394">
        <f t="shared" si="229"/>
        <v>115.05882352941177</v>
      </c>
      <c r="G67" s="3695">
        <v>2006</v>
      </c>
      <c r="H67" s="2406">
        <v>2</v>
      </c>
      <c r="I67" s="2406">
        <v>0.96</v>
      </c>
      <c r="J67" s="2406">
        <v>0.25</v>
      </c>
      <c r="K67" s="2406">
        <v>1.9</v>
      </c>
      <c r="L67" s="2407">
        <v>0.95</v>
      </c>
      <c r="N67" s="2455">
        <f t="shared" si="226"/>
        <v>1.8352632728861701E-2</v>
      </c>
      <c r="O67" s="2456">
        <f t="shared" si="226"/>
        <v>2.6286459319075526E-3</v>
      </c>
      <c r="P67" s="2456">
        <f t="shared" si="227"/>
        <v>5.4299289107991269E-2</v>
      </c>
      <c r="Q67" s="2456">
        <f t="shared" si="227"/>
        <v>8.9126559714794995E-3</v>
      </c>
      <c r="R67" s="2397"/>
      <c r="S67" s="2396"/>
      <c r="T67" s="2381"/>
      <c r="U67" s="2381"/>
      <c r="V67" s="2381"/>
      <c r="X67" s="2457"/>
      <c r="Y67" s="2457"/>
      <c r="Z67" s="2457"/>
    </row>
    <row r="68" spans="1:26">
      <c r="A68" s="2393" t="s">
        <v>1102</v>
      </c>
      <c r="B68" s="2394">
        <f t="shared" si="228"/>
        <v>144.04145728643215</v>
      </c>
      <c r="C68" s="2394">
        <f t="shared" si="228"/>
        <v>136.12396694214877</v>
      </c>
      <c r="D68" s="2394">
        <f t="shared" si="202"/>
        <v>136.12396694214877</v>
      </c>
      <c r="E68" s="2394">
        <f t="shared" si="229"/>
        <v>158.32225913621264</v>
      </c>
      <c r="F68" s="2394">
        <f t="shared" si="229"/>
        <v>114.04278074866311</v>
      </c>
      <c r="G68" s="3696">
        <v>2006</v>
      </c>
      <c r="H68" s="2395">
        <v>1</v>
      </c>
      <c r="I68" s="2395">
        <v>2.29</v>
      </c>
      <c r="J68" s="2395">
        <v>3.72</v>
      </c>
      <c r="K68" s="2395">
        <v>0.75</v>
      </c>
      <c r="L68" s="2401">
        <v>0.04</v>
      </c>
      <c r="N68" s="2458">
        <f t="shared" si="226"/>
        <v>4.3778675988638847E-2</v>
      </c>
      <c r="O68" s="2459">
        <f t="shared" si="226"/>
        <v>3.9114251466784385E-2</v>
      </c>
      <c r="P68" s="2459">
        <f t="shared" si="227"/>
        <v>2.1433929911049188E-2</v>
      </c>
      <c r="Q68" s="2459">
        <f t="shared" si="227"/>
        <v>3.7526972511492629E-4</v>
      </c>
      <c r="R68" s="2397"/>
      <c r="S68" s="2412">
        <f>B68/B69-1</f>
        <v>4.3778675988638716E-2</v>
      </c>
      <c r="T68" s="2413">
        <f>C68/C69-1</f>
        <v>3.91142514667846E-2</v>
      </c>
      <c r="U68" s="2413">
        <f>E68/E69-1</f>
        <v>2.143392991104931E-2</v>
      </c>
      <c r="V68" s="2413">
        <f>F68/F69-1</f>
        <v>3.7526972511492396E-4</v>
      </c>
      <c r="X68" s="2457"/>
      <c r="Y68" s="2457"/>
      <c r="Z68" s="2457"/>
    </row>
    <row r="69" spans="1:26" ht="13.5" thickBot="1">
      <c r="A69" s="2393" t="s">
        <v>1103</v>
      </c>
      <c r="B69" s="2422">
        <v>138</v>
      </c>
      <c r="C69" s="2422">
        <v>131</v>
      </c>
      <c r="D69" s="2422">
        <f t="shared" si="202"/>
        <v>131</v>
      </c>
      <c r="E69" s="2422">
        <v>155</v>
      </c>
      <c r="F69" s="2423">
        <v>114</v>
      </c>
      <c r="G69" s="3694">
        <v>2005</v>
      </c>
      <c r="H69" s="2414">
        <v>4</v>
      </c>
      <c r="I69" s="2414">
        <v>3.29</v>
      </c>
      <c r="J69" s="2414">
        <v>1.44</v>
      </c>
      <c r="K69" s="2414">
        <v>0.66</v>
      </c>
      <c r="L69" s="2415">
        <v>7.78</v>
      </c>
      <c r="N69" s="2455">
        <f t="shared" ref="N69:O72" si="230">I69/SUM(I$69:I$72)*(B$69/B$73-1)</f>
        <v>9.9404603216919935E-2</v>
      </c>
      <c r="O69" s="2456">
        <f t="shared" si="230"/>
        <v>4.7636550760861554E-2</v>
      </c>
      <c r="P69" s="2456">
        <f t="shared" ref="P69:Q72" si="231">K69/SUM(K$69:K$72)*(E$69/E$73-1)</f>
        <v>8.3756345177664976E-2</v>
      </c>
      <c r="Q69" s="2456">
        <f t="shared" si="231"/>
        <v>5.2148766661559584E-2</v>
      </c>
      <c r="R69" s="2397"/>
      <c r="S69" s="2410"/>
      <c r="T69" s="2411"/>
      <c r="U69" s="2411"/>
      <c r="V69" s="2411"/>
      <c r="X69" s="2457"/>
      <c r="Y69" s="2457"/>
      <c r="Z69" s="2457"/>
    </row>
    <row r="70" spans="1:26">
      <c r="A70" s="2393" t="s">
        <v>1104</v>
      </c>
      <c r="B70" s="2394">
        <f t="shared" ref="B70:C72" si="232">B71+(B$69-B$73)*I70/SUM(I$69:I$72)</f>
        <v>125.9720430107527</v>
      </c>
      <c r="C70" s="2394">
        <f t="shared" si="232"/>
        <v>125.1883408071749</v>
      </c>
      <c r="D70" s="2394">
        <f t="shared" si="202"/>
        <v>125.1883408071749</v>
      </c>
      <c r="E70" s="2394">
        <f t="shared" ref="E70:F72" si="233">E71+(E$69-E$73)*K70/SUM(K$69:K$72)</f>
        <v>144.61421319796952</v>
      </c>
      <c r="F70" s="2394">
        <f t="shared" si="233"/>
        <v>108.42008196721311</v>
      </c>
      <c r="G70" s="3695">
        <v>2005</v>
      </c>
      <c r="H70" s="2419">
        <v>3</v>
      </c>
      <c r="I70" s="2419">
        <v>0.46</v>
      </c>
      <c r="J70" s="2419">
        <v>0.32</v>
      </c>
      <c r="K70" s="2419">
        <v>0.42</v>
      </c>
      <c r="L70" s="2420">
        <v>0.64</v>
      </c>
      <c r="N70" s="2455">
        <f t="shared" si="230"/>
        <v>1.3898515951301874E-2</v>
      </c>
      <c r="O70" s="2456">
        <f t="shared" si="230"/>
        <v>1.0585900169080346E-2</v>
      </c>
      <c r="P70" s="2456">
        <f t="shared" si="231"/>
        <v>5.3299492385786795E-2</v>
      </c>
      <c r="Q70" s="2456">
        <f t="shared" si="231"/>
        <v>4.2898728359123568E-3</v>
      </c>
      <c r="R70" s="2397"/>
      <c r="S70" s="2396"/>
      <c r="T70" s="2381"/>
      <c r="U70" s="2381"/>
      <c r="V70" s="2381"/>
      <c r="X70" s="2457"/>
      <c r="Y70" s="2457"/>
      <c r="Z70" s="2457"/>
    </row>
    <row r="71" spans="1:26">
      <c r="A71" s="2393" t="s">
        <v>1105</v>
      </c>
      <c r="B71" s="2394">
        <f t="shared" si="232"/>
        <v>124.29032258064517</v>
      </c>
      <c r="C71" s="2394">
        <f t="shared" si="232"/>
        <v>123.8968609865471</v>
      </c>
      <c r="D71" s="2394">
        <f t="shared" si="202"/>
        <v>123.8968609865471</v>
      </c>
      <c r="E71" s="2394">
        <f t="shared" si="233"/>
        <v>138.00507614213197</v>
      </c>
      <c r="F71" s="2394">
        <f t="shared" si="233"/>
        <v>107.96106557377048</v>
      </c>
      <c r="G71" s="3695">
        <v>2005</v>
      </c>
      <c r="H71" s="2406">
        <v>2</v>
      </c>
      <c r="I71" s="2406">
        <v>0.47</v>
      </c>
      <c r="J71" s="2406">
        <v>0.1</v>
      </c>
      <c r="K71" s="2406">
        <v>0.52</v>
      </c>
      <c r="L71" s="2407">
        <v>0.79</v>
      </c>
      <c r="N71" s="2455">
        <f t="shared" si="230"/>
        <v>1.420065760241713E-2</v>
      </c>
      <c r="O71" s="2456">
        <f t="shared" si="230"/>
        <v>3.3080938028376083E-3</v>
      </c>
      <c r="P71" s="2456">
        <f t="shared" si="231"/>
        <v>6.598984771573603E-2</v>
      </c>
      <c r="Q71" s="2456">
        <f t="shared" si="231"/>
        <v>5.2953117818293153E-3</v>
      </c>
      <c r="R71" s="2397"/>
      <c r="S71" s="2396"/>
      <c r="T71" s="2381"/>
      <c r="U71" s="2381"/>
      <c r="V71" s="2381"/>
      <c r="X71" s="2457"/>
      <c r="Y71" s="2457"/>
      <c r="Z71" s="2457"/>
    </row>
    <row r="72" spans="1:26">
      <c r="A72" s="2393" t="s">
        <v>1106</v>
      </c>
      <c r="B72" s="2394">
        <f t="shared" si="232"/>
        <v>122.57204301075269</v>
      </c>
      <c r="C72" s="2394">
        <f t="shared" si="232"/>
        <v>123.4932735426009</v>
      </c>
      <c r="D72" s="2394">
        <f t="shared" si="202"/>
        <v>123.4932735426009</v>
      </c>
      <c r="E72" s="2394">
        <f t="shared" si="233"/>
        <v>129.82233502538071</v>
      </c>
      <c r="F72" s="2394">
        <f t="shared" si="233"/>
        <v>107.39446721311475</v>
      </c>
      <c r="G72" s="3696">
        <v>2005</v>
      </c>
      <c r="H72" s="2395">
        <v>1</v>
      </c>
      <c r="I72" s="2395">
        <v>0.43</v>
      </c>
      <c r="J72" s="2395">
        <v>0.37</v>
      </c>
      <c r="K72" s="2395">
        <v>0.37</v>
      </c>
      <c r="L72" s="2401">
        <v>0.55000000000000004</v>
      </c>
      <c r="N72" s="2458">
        <f t="shared" si="230"/>
        <v>1.2992090997956099E-2</v>
      </c>
      <c r="O72" s="2459">
        <f t="shared" si="230"/>
        <v>1.2239947070499151E-2</v>
      </c>
      <c r="P72" s="2459">
        <f t="shared" si="231"/>
        <v>4.6954314720812178E-2</v>
      </c>
      <c r="Q72" s="2459">
        <f t="shared" si="231"/>
        <v>3.6866094683621815E-3</v>
      </c>
      <c r="R72" s="2397"/>
      <c r="S72" s="2412">
        <f>B72/B73-1</f>
        <v>1.2992090997956174E-2</v>
      </c>
      <c r="T72" s="2413">
        <f>C72/C73-1</f>
        <v>1.2239947070499246E-2</v>
      </c>
      <c r="U72" s="2413">
        <f>E72/E73-1</f>
        <v>4.695431472081224E-2</v>
      </c>
      <c r="V72" s="2413">
        <f>F72/F73-1</f>
        <v>3.6866094683620787E-3</v>
      </c>
      <c r="X72" s="2457"/>
      <c r="Y72" s="2457"/>
      <c r="Z72" s="2457"/>
    </row>
    <row r="73" spans="1:26" ht="13.5" thickBot="1">
      <c r="A73" s="2393" t="s">
        <v>1107</v>
      </c>
      <c r="B73" s="2443">
        <v>121</v>
      </c>
      <c r="C73" s="2443">
        <v>122</v>
      </c>
      <c r="D73" s="2443">
        <f t="shared" si="202"/>
        <v>122</v>
      </c>
      <c r="E73" s="2443">
        <v>124</v>
      </c>
      <c r="F73" s="2444">
        <v>107</v>
      </c>
      <c r="G73" s="3694">
        <v>2004</v>
      </c>
      <c r="H73" s="2414">
        <v>4</v>
      </c>
      <c r="I73" s="2414">
        <v>0.33</v>
      </c>
      <c r="J73" s="2414">
        <v>0.5</v>
      </c>
      <c r="K73" s="2414">
        <v>0.5</v>
      </c>
      <c r="L73" s="2415">
        <v>0</v>
      </c>
      <c r="N73" s="2455">
        <f t="shared" ref="N73:O76" si="234">I73/SUM(I$73:I$76)*(B$73/B$77-1)</f>
        <v>1.3391770148526898E-2</v>
      </c>
      <c r="O73" s="2456">
        <f t="shared" si="234"/>
        <v>1.063264221158958E-2</v>
      </c>
      <c r="P73" s="2456">
        <f t="shared" ref="P73:Q76" si="235">K73/SUM(K$73:K$76)*(E$73/E$77-1)</f>
        <v>2.2244466688911134E-2</v>
      </c>
      <c r="Q73" s="2456">
        <f t="shared" si="235"/>
        <v>0</v>
      </c>
      <c r="R73" s="2397"/>
      <c r="S73" s="2410"/>
      <c r="T73" s="2411"/>
      <c r="U73" s="2411"/>
      <c r="V73" s="2411"/>
      <c r="X73" s="2457"/>
      <c r="Y73" s="2457"/>
      <c r="Z73" s="2457"/>
    </row>
    <row r="74" spans="1:26">
      <c r="A74" s="2393" t="s">
        <v>1108</v>
      </c>
      <c r="B74" s="2394">
        <f t="shared" ref="B74:C76" si="236">B75+(B$73-B$77)*I74/SUM(I$73:I$76)</f>
        <v>119.51351351351352</v>
      </c>
      <c r="C74" s="2394">
        <f t="shared" si="236"/>
        <v>120.7878787878788</v>
      </c>
      <c r="D74" s="2394">
        <f t="shared" si="202"/>
        <v>120.7878787878788</v>
      </c>
      <c r="E74" s="2394">
        <f t="shared" ref="E74:F76" si="237">E75+(E$73-E$77)*K74/SUM(K$73:K$76)</f>
        <v>121.5975975975976</v>
      </c>
      <c r="F74" s="2394">
        <f t="shared" si="237"/>
        <v>107</v>
      </c>
      <c r="G74" s="3695">
        <v>2004</v>
      </c>
      <c r="H74" s="2419">
        <v>3</v>
      </c>
      <c r="I74" s="2419">
        <v>0.56000000000000005</v>
      </c>
      <c r="J74" s="2419">
        <v>0.8</v>
      </c>
      <c r="K74" s="2419">
        <v>0.83</v>
      </c>
      <c r="L74" s="2420">
        <v>0.06</v>
      </c>
      <c r="N74" s="2455">
        <f t="shared" si="234"/>
        <v>2.2725428130833527E-2</v>
      </c>
      <c r="O74" s="2456">
        <f t="shared" si="234"/>
        <v>1.7012227538543329E-2</v>
      </c>
      <c r="P74" s="2456">
        <f t="shared" si="235"/>
        <v>3.6925814703592477E-2</v>
      </c>
      <c r="Q74" s="2456">
        <f t="shared" si="235"/>
        <v>2.8846153846153744E-2</v>
      </c>
      <c r="R74" s="2397"/>
      <c r="S74" s="2396"/>
      <c r="T74" s="2381"/>
      <c r="U74" s="2381"/>
      <c r="V74" s="2381"/>
      <c r="X74" s="2457"/>
      <c r="Y74" s="2457"/>
      <c r="Z74" s="2457"/>
    </row>
    <row r="75" spans="1:26">
      <c r="A75" s="2393" t="s">
        <v>1109</v>
      </c>
      <c r="B75" s="2394">
        <f t="shared" si="236"/>
        <v>116.99099099099099</v>
      </c>
      <c r="C75" s="2394">
        <f t="shared" si="236"/>
        <v>118.84848484848486</v>
      </c>
      <c r="D75" s="2394">
        <f t="shared" si="202"/>
        <v>118.84848484848486</v>
      </c>
      <c r="E75" s="2394">
        <f t="shared" si="237"/>
        <v>117.60960960960961</v>
      </c>
      <c r="F75" s="2394">
        <f t="shared" si="237"/>
        <v>104</v>
      </c>
      <c r="G75" s="3695">
        <v>2004</v>
      </c>
      <c r="H75" s="2406">
        <v>2</v>
      </c>
      <c r="I75" s="2406">
        <v>1</v>
      </c>
      <c r="J75" s="2406">
        <v>1.5</v>
      </c>
      <c r="K75" s="2406">
        <v>1.5</v>
      </c>
      <c r="L75" s="2407">
        <v>0</v>
      </c>
      <c r="N75" s="2455">
        <f t="shared" si="234"/>
        <v>4.0581121662202721E-2</v>
      </c>
      <c r="O75" s="2456">
        <f t="shared" si="234"/>
        <v>3.1897926634768738E-2</v>
      </c>
      <c r="P75" s="2456">
        <f t="shared" si="235"/>
        <v>6.6733400066733395E-2</v>
      </c>
      <c r="Q75" s="2456">
        <f t="shared" si="235"/>
        <v>0</v>
      </c>
      <c r="R75" s="2397"/>
      <c r="S75" s="2396"/>
      <c r="T75" s="2381"/>
      <c r="U75" s="2381"/>
      <c r="V75" s="2381"/>
      <c r="X75" s="2457"/>
      <c r="Y75" s="2457"/>
      <c r="Z75" s="2457"/>
    </row>
    <row r="76" spans="1:26" s="2449" customFormat="1" ht="13.5" thickBot="1">
      <c r="A76" s="2393" t="s">
        <v>1110</v>
      </c>
      <c r="B76" s="2446">
        <f t="shared" si="236"/>
        <v>112.48648648648648</v>
      </c>
      <c r="C76" s="2446">
        <f t="shared" si="236"/>
        <v>115.21212121212122</v>
      </c>
      <c r="D76" s="2446">
        <f t="shared" si="202"/>
        <v>115.21212121212122</v>
      </c>
      <c r="E76" s="2446">
        <f t="shared" si="237"/>
        <v>110.4024024024024</v>
      </c>
      <c r="F76" s="2446">
        <f t="shared" si="237"/>
        <v>104</v>
      </c>
      <c r="G76" s="3696">
        <v>2004</v>
      </c>
      <c r="H76" s="2447">
        <v>1</v>
      </c>
      <c r="I76" s="2447">
        <v>0.33</v>
      </c>
      <c r="J76" s="2447">
        <v>0.5</v>
      </c>
      <c r="K76" s="2447">
        <v>0.5</v>
      </c>
      <c r="L76" s="2448">
        <v>0</v>
      </c>
      <c r="N76" s="2460">
        <f t="shared" si="234"/>
        <v>1.3391770148526898E-2</v>
      </c>
      <c r="O76" s="2461">
        <f t="shared" si="234"/>
        <v>1.063264221158958E-2</v>
      </c>
      <c r="P76" s="2461">
        <f t="shared" si="235"/>
        <v>2.2244466688911134E-2</v>
      </c>
      <c r="Q76" s="2461">
        <f t="shared" si="235"/>
        <v>0</v>
      </c>
      <c r="R76" s="2452"/>
      <c r="S76" s="2450">
        <f>B76/B77-1</f>
        <v>1.3391770148526883E-2</v>
      </c>
      <c r="T76" s="2451">
        <f>C76/C77-1</f>
        <v>1.063264221158966E-2</v>
      </c>
      <c r="U76" s="2451">
        <f>E76/E77-1</f>
        <v>2.2244466688911224E-2</v>
      </c>
      <c r="V76" s="2451">
        <f>F76/F77-1</f>
        <v>0</v>
      </c>
      <c r="X76" s="2462"/>
      <c r="Y76" s="2462"/>
      <c r="Z76" s="2462"/>
    </row>
    <row r="77" spans="1:26" ht="13.5" thickBot="1">
      <c r="A77" s="2393" t="s">
        <v>1111</v>
      </c>
      <c r="B77" s="2463">
        <v>111</v>
      </c>
      <c r="C77" s="2463">
        <v>114</v>
      </c>
      <c r="D77" s="2463">
        <f t="shared" si="202"/>
        <v>114</v>
      </c>
      <c r="E77" s="2463">
        <v>108</v>
      </c>
      <c r="F77" s="2464">
        <v>104</v>
      </c>
      <c r="G77" s="3694">
        <v>2003</v>
      </c>
      <c r="H77" s="2453">
        <v>4</v>
      </c>
      <c r="I77" s="2465"/>
      <c r="J77" s="2465"/>
      <c r="K77" s="2465"/>
      <c r="L77" s="2465"/>
      <c r="N77" s="2466"/>
      <c r="O77" s="2465"/>
      <c r="P77" s="2465"/>
      <c r="Q77" s="2465"/>
      <c r="S77" s="2466"/>
      <c r="T77" s="2465"/>
      <c r="U77" s="2465"/>
      <c r="V77" s="2465"/>
      <c r="X77" s="2457"/>
      <c r="Y77" s="2457"/>
      <c r="Z77" s="2457"/>
    </row>
    <row r="78" spans="1:26">
      <c r="A78" s="2393" t="s">
        <v>1112</v>
      </c>
      <c r="B78" s="2467">
        <f t="shared" ref="B78:C80" si="238">B79+(B$77-B$81)/4</f>
        <v>109.75</v>
      </c>
      <c r="C78" s="2467">
        <f t="shared" si="238"/>
        <v>112.25</v>
      </c>
      <c r="D78" s="2467">
        <f t="shared" si="202"/>
        <v>112.25</v>
      </c>
      <c r="E78" s="2467">
        <f t="shared" ref="E78:F80" si="239">E79+(E$77-E$81)/4</f>
        <v>107.25</v>
      </c>
      <c r="F78" s="2467">
        <f t="shared" si="239"/>
        <v>103.5</v>
      </c>
      <c r="G78" s="3695">
        <v>2003</v>
      </c>
      <c r="H78" s="2419">
        <v>3</v>
      </c>
      <c r="I78" s="2465"/>
      <c r="J78" s="2465"/>
      <c r="K78" s="2465"/>
      <c r="L78" s="2465"/>
      <c r="X78" s="2457"/>
      <c r="Y78" s="2457"/>
      <c r="Z78" s="2457"/>
    </row>
    <row r="79" spans="1:26">
      <c r="A79" s="2393" t="s">
        <v>1113</v>
      </c>
      <c r="B79" s="2467">
        <f t="shared" si="238"/>
        <v>108.5</v>
      </c>
      <c r="C79" s="2467">
        <f t="shared" si="238"/>
        <v>110.5</v>
      </c>
      <c r="D79" s="2467">
        <f t="shared" si="202"/>
        <v>110.5</v>
      </c>
      <c r="E79" s="2467">
        <f t="shared" si="239"/>
        <v>106.5</v>
      </c>
      <c r="F79" s="2467">
        <f t="shared" si="239"/>
        <v>103</v>
      </c>
      <c r="G79" s="3695">
        <v>2003</v>
      </c>
      <c r="H79" s="2406">
        <v>2</v>
      </c>
      <c r="I79" s="2465"/>
      <c r="J79" s="2465"/>
      <c r="K79" s="2465"/>
      <c r="L79" s="2465"/>
      <c r="X79" s="2457"/>
      <c r="Y79" s="2457"/>
      <c r="Z79" s="2457"/>
    </row>
    <row r="80" spans="1:26" ht="13.5" thickBot="1">
      <c r="A80" s="2393" t="s">
        <v>1114</v>
      </c>
      <c r="B80" s="2467">
        <f t="shared" si="238"/>
        <v>107.25</v>
      </c>
      <c r="C80" s="2467">
        <f t="shared" si="238"/>
        <v>108.75</v>
      </c>
      <c r="D80" s="2467">
        <f t="shared" si="202"/>
        <v>108.75</v>
      </c>
      <c r="E80" s="2467">
        <f t="shared" si="239"/>
        <v>105.75</v>
      </c>
      <c r="F80" s="2467">
        <f t="shared" si="239"/>
        <v>102.5</v>
      </c>
      <c r="G80" s="3696">
        <v>2003</v>
      </c>
      <c r="H80" s="2468">
        <v>1</v>
      </c>
      <c r="I80" s="2465"/>
      <c r="J80" s="2465"/>
      <c r="K80" s="2465"/>
      <c r="L80" s="2465"/>
      <c r="S80" s="2396"/>
      <c r="T80" s="2381"/>
      <c r="U80" s="2381"/>
      <c r="X80" s="2457"/>
      <c r="Y80" s="2457"/>
      <c r="Z80" s="2457"/>
    </row>
    <row r="81" spans="1:26" ht="13.5" thickBot="1">
      <c r="A81" s="2393" t="s">
        <v>1115</v>
      </c>
      <c r="B81" s="2469">
        <v>106</v>
      </c>
      <c r="C81" s="2469">
        <v>107</v>
      </c>
      <c r="D81" s="2469">
        <f t="shared" si="202"/>
        <v>107</v>
      </c>
      <c r="E81" s="2469">
        <v>105</v>
      </c>
      <c r="F81" s="2470">
        <v>102</v>
      </c>
      <c r="G81" s="3694">
        <v>2002</v>
      </c>
      <c r="H81" s="2414">
        <v>4</v>
      </c>
      <c r="I81" s="2465"/>
      <c r="J81" s="2465"/>
      <c r="K81" s="2465"/>
      <c r="L81" s="2465"/>
      <c r="N81" s="2466"/>
      <c r="O81" s="2465"/>
      <c r="P81" s="2465"/>
      <c r="Q81" s="2465"/>
      <c r="S81" s="2466"/>
      <c r="T81" s="2465"/>
      <c r="U81" s="2465"/>
      <c r="V81" s="2465"/>
      <c r="X81" s="2457"/>
      <c r="Y81" s="2457"/>
      <c r="Z81" s="2457"/>
    </row>
    <row r="82" spans="1:26">
      <c r="A82" s="2393" t="s">
        <v>1116</v>
      </c>
      <c r="B82" s="2467">
        <f t="shared" ref="B82:C84" si="240">B83+(B$81-B$85)/4</f>
        <v>105</v>
      </c>
      <c r="C82" s="2467">
        <f t="shared" si="240"/>
        <v>106</v>
      </c>
      <c r="D82" s="2467">
        <f t="shared" si="202"/>
        <v>106</v>
      </c>
      <c r="E82" s="2467">
        <f t="shared" ref="E82:F84" si="241">E83+(E$81-E$85)/4</f>
        <v>104.5</v>
      </c>
      <c r="F82" s="2467">
        <f t="shared" si="241"/>
        <v>101.5</v>
      </c>
      <c r="G82" s="3695">
        <v>2002</v>
      </c>
      <c r="H82" s="2419">
        <v>3</v>
      </c>
      <c r="I82" s="2465"/>
      <c r="J82" s="2465"/>
      <c r="K82" s="2465"/>
      <c r="L82" s="2465"/>
      <c r="X82" s="2457"/>
      <c r="Y82" s="2457"/>
      <c r="Z82" s="2457"/>
    </row>
    <row r="83" spans="1:26">
      <c r="A83" s="2393" t="s">
        <v>1117</v>
      </c>
      <c r="B83" s="2467">
        <f t="shared" si="240"/>
        <v>104</v>
      </c>
      <c r="C83" s="2467">
        <f t="shared" si="240"/>
        <v>105</v>
      </c>
      <c r="D83" s="2467">
        <f t="shared" si="202"/>
        <v>105</v>
      </c>
      <c r="E83" s="2467">
        <f t="shared" si="241"/>
        <v>104</v>
      </c>
      <c r="F83" s="2467">
        <f t="shared" si="241"/>
        <v>101</v>
      </c>
      <c r="G83" s="3695">
        <v>2002</v>
      </c>
      <c r="H83" s="2406">
        <v>2</v>
      </c>
      <c r="I83" s="2465"/>
      <c r="J83" s="2465"/>
      <c r="K83" s="2465"/>
      <c r="L83" s="2465"/>
      <c r="X83" s="2457"/>
      <c r="Y83" s="2457"/>
      <c r="Z83" s="2457"/>
    </row>
    <row r="84" spans="1:26" s="2430" customFormat="1" ht="13.5" thickBot="1">
      <c r="A84" s="2426" t="s">
        <v>1118</v>
      </c>
      <c r="B84" s="2433">
        <f t="shared" si="240"/>
        <v>103</v>
      </c>
      <c r="C84" s="2433">
        <f t="shared" si="240"/>
        <v>104</v>
      </c>
      <c r="D84" s="2433">
        <f t="shared" si="202"/>
        <v>104</v>
      </c>
      <c r="E84" s="2433">
        <f t="shared" si="241"/>
        <v>103.5</v>
      </c>
      <c r="F84" s="2433">
        <f t="shared" si="241"/>
        <v>100.5</v>
      </c>
      <c r="G84" s="3696">
        <v>2002</v>
      </c>
      <c r="H84" s="2471">
        <v>1</v>
      </c>
      <c r="I84" s="2472"/>
      <c r="J84" s="2472"/>
      <c r="K84" s="2472"/>
      <c r="L84" s="2472"/>
      <c r="N84" s="2473"/>
      <c r="S84" s="2473"/>
      <c r="X84" s="2474"/>
      <c r="Y84" s="2474"/>
      <c r="Z84" s="2474"/>
    </row>
    <row r="85" spans="1:26" ht="13.5" thickBot="1">
      <c r="B85" s="2475">
        <v>102</v>
      </c>
      <c r="C85" s="2476">
        <v>103</v>
      </c>
      <c r="D85" s="2476">
        <f t="shared" si="202"/>
        <v>103</v>
      </c>
      <c r="E85" s="2476">
        <v>103</v>
      </c>
      <c r="F85" s="2477">
        <v>100</v>
      </c>
      <c r="I85" s="2465"/>
      <c r="J85" s="2465"/>
      <c r="K85" s="2465"/>
      <c r="L85" s="2465"/>
      <c r="N85" s="2466"/>
      <c r="O85" s="2465"/>
      <c r="P85" s="2465"/>
      <c r="Q85" s="2465"/>
      <c r="S85" s="2466"/>
      <c r="T85" s="2465"/>
      <c r="U85" s="2465"/>
      <c r="V85" s="2465"/>
      <c r="X85" s="2411"/>
      <c r="Y85" s="2411"/>
      <c r="Z85" s="2411"/>
    </row>
    <row r="87" spans="1:26" s="2479" customFormat="1">
      <c r="A87" s="2478" t="s">
        <v>1119</v>
      </c>
      <c r="G87" s="2480"/>
      <c r="N87" s="2480"/>
      <c r="S87" s="2480"/>
    </row>
    <row r="88" spans="1:26" s="2479" customFormat="1">
      <c r="A88" s="2479" t="s">
        <v>1120</v>
      </c>
      <c r="G88" s="2480"/>
      <c r="N88" s="2480"/>
      <c r="S88" s="2480"/>
    </row>
    <row r="89" spans="1:26" s="2479" customFormat="1">
      <c r="A89" s="2479" t="s">
        <v>1121</v>
      </c>
      <c r="G89" s="2480"/>
      <c r="I89" s="2481"/>
      <c r="J89" s="2481"/>
      <c r="K89" s="2481"/>
      <c r="L89" s="2481"/>
      <c r="N89" s="2482"/>
      <c r="O89" s="2481"/>
      <c r="P89" s="2481"/>
      <c r="Q89" s="2481"/>
      <c r="S89" s="2482"/>
      <c r="T89" s="2481"/>
      <c r="U89" s="2481"/>
      <c r="V89" s="2481"/>
    </row>
    <row r="90" spans="1:26" s="2479" customFormat="1">
      <c r="A90" s="2479" t="s">
        <v>1122</v>
      </c>
      <c r="G90" s="2480"/>
      <c r="N90" s="2480"/>
      <c r="S90" s="2480"/>
    </row>
    <row r="97" spans="7:22" ht="13.5" thickBot="1"/>
    <row r="98" spans="7:22">
      <c r="G98" s="2380"/>
      <c r="S98" s="2483" t="s">
        <v>1123</v>
      </c>
      <c r="T98" s="2484" t="s">
        <v>1124</v>
      </c>
      <c r="U98" s="2484" t="s">
        <v>1125</v>
      </c>
      <c r="V98" s="2484" t="s">
        <v>1126</v>
      </c>
    </row>
    <row r="99" spans="7:22">
      <c r="G99" s="2380"/>
      <c r="N99" s="2410"/>
      <c r="O99" s="2411"/>
      <c r="P99" s="2411"/>
      <c r="Q99" s="2411"/>
      <c r="S99" s="2485">
        <v>2006</v>
      </c>
      <c r="T99" s="2486">
        <v>15.1</v>
      </c>
      <c r="U99" s="2486">
        <v>7.43</v>
      </c>
      <c r="V99" s="2486">
        <v>26.26</v>
      </c>
    </row>
    <row r="100" spans="7:22">
      <c r="G100" s="2380"/>
      <c r="N100" s="2410"/>
      <c r="O100" s="2411"/>
      <c r="P100" s="2411"/>
      <c r="Q100" s="2411"/>
      <c r="S100" s="2487">
        <v>2005</v>
      </c>
      <c r="T100" s="2488">
        <v>13.9</v>
      </c>
      <c r="U100" s="2488">
        <v>7.49</v>
      </c>
      <c r="V100" s="2488">
        <v>24.92</v>
      </c>
    </row>
    <row r="101" spans="7:22">
      <c r="G101" s="2380"/>
      <c r="N101" s="2410"/>
      <c r="O101" s="2411"/>
      <c r="P101" s="2411"/>
      <c r="Q101" s="2411"/>
      <c r="S101" s="2485">
        <v>2004</v>
      </c>
      <c r="T101" s="2486">
        <v>9.48</v>
      </c>
      <c r="U101" s="2486">
        <v>7.2</v>
      </c>
      <c r="V101" s="2486">
        <v>14.68</v>
      </c>
    </row>
    <row r="102" spans="7:22">
      <c r="G102" s="2380"/>
      <c r="N102" s="2410"/>
      <c r="O102" s="2411"/>
      <c r="P102" s="2411"/>
      <c r="Q102" s="2411"/>
      <c r="S102" s="2487">
        <v>2003</v>
      </c>
      <c r="T102" s="2488">
        <v>4.5</v>
      </c>
      <c r="U102" s="2488">
        <v>6.12</v>
      </c>
      <c r="V102" s="2488">
        <v>2.34</v>
      </c>
    </row>
    <row r="103" spans="7:22" ht="13.5" thickBot="1">
      <c r="G103" s="2380"/>
      <c r="N103" s="2410"/>
      <c r="O103" s="2411"/>
      <c r="P103" s="2411"/>
      <c r="Q103" s="2411"/>
      <c r="S103" s="2489">
        <v>2002</v>
      </c>
      <c r="T103" s="2490">
        <v>3.59</v>
      </c>
      <c r="U103" s="2490">
        <v>4.54</v>
      </c>
      <c r="V103" s="2490">
        <v>2.5499999999999998</v>
      </c>
    </row>
    <row r="104" spans="7:22">
      <c r="G104" s="2380"/>
      <c r="N104" s="2410"/>
      <c r="O104" s="2411"/>
      <c r="P104" s="2411"/>
      <c r="Q104" s="2411"/>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c r="S114" s="2380"/>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2765</v>
      </c>
      <c r="C1" s="3706" t="s">
        <v>2766</v>
      </c>
      <c r="D1" s="3707"/>
      <c r="E1" s="3707"/>
      <c r="F1" s="3707"/>
      <c r="G1" s="3707"/>
      <c r="H1" s="3707"/>
      <c r="I1" s="3707"/>
      <c r="J1" s="3707"/>
      <c r="K1" s="3707"/>
      <c r="L1" s="3707"/>
      <c r="M1" s="3707"/>
      <c r="N1" s="3707"/>
      <c r="O1" s="3707"/>
      <c r="P1" s="3707"/>
      <c r="Q1" s="3707"/>
      <c r="R1" s="3707"/>
      <c r="S1" s="3708"/>
      <c r="T1" s="1114" t="s">
        <v>2767</v>
      </c>
    </row>
    <row r="2" spans="1:45" s="663" customFormat="1">
      <c r="A2" s="1115"/>
      <c r="B2" s="659" t="s">
        <v>2768</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2769</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2770</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2771</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2772</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2773</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2774</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2775</v>
      </c>
      <c r="B17" s="2335" t="s">
        <v>2776</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2777</v>
      </c>
      <c r="E19" s="1494"/>
      <c r="F19" s="1494"/>
      <c r="G19" s="1494"/>
      <c r="H19" s="1190"/>
      <c r="I19" s="164"/>
      <c r="J19" s="164"/>
      <c r="K19" s="164"/>
      <c r="L19" s="164"/>
      <c r="M19" s="164"/>
      <c r="N19" s="164"/>
      <c r="O19" s="164"/>
      <c r="P19" s="164"/>
      <c r="Q19" s="164"/>
      <c r="R19" s="727"/>
      <c r="S19" s="134"/>
    </row>
    <row r="20" spans="1:45" ht="16.5" thickBot="1">
      <c r="A20" s="671" t="s">
        <v>2778</v>
      </c>
      <c r="B20" s="300" t="e">
        <f ca="1">IF(D20="——",S22,S22-F20)</f>
        <v>#REF!</v>
      </c>
      <c r="C20" s="164"/>
      <c r="D20" s="2337"/>
      <c r="E20" s="1495"/>
      <c r="F20" s="1114" t="e">
        <f ca="1">SUMIF(INDIRECT("'"&amp;H20&amp;"'"&amp;"!A:A"),"承租人权益价值",INDIRECT("'"&amp;H20&amp;"'"&amp;"!c:c"))</f>
        <v>#REF!</v>
      </c>
      <c r="G20" s="1114" t="s">
        <v>2779</v>
      </c>
      <c r="H20" s="2338"/>
      <c r="I20" s="164"/>
      <c r="J20" s="164"/>
      <c r="K20" s="164"/>
      <c r="L20" s="164"/>
      <c r="M20" s="164"/>
      <c r="N20" s="164"/>
      <c r="O20" s="164"/>
      <c r="P20" s="164"/>
      <c r="Q20" s="164"/>
      <c r="R20" s="727"/>
      <c r="S20" s="134"/>
    </row>
    <row r="21" spans="1:45" ht="15.75">
      <c r="A21" s="671" t="s">
        <v>2780</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2781</v>
      </c>
      <c r="B22" s="24">
        <f>SUM(B24:B10000)</f>
        <v>100</v>
      </c>
      <c r="C22" s="3703" t="s">
        <v>33</v>
      </c>
      <c r="D22" s="3704"/>
      <c r="E22" s="3704"/>
      <c r="F22" s="3704"/>
      <c r="G22" s="3704"/>
      <c r="H22" s="3704"/>
      <c r="I22" s="3704"/>
      <c r="J22" s="3704"/>
      <c r="K22" s="3704"/>
      <c r="L22" s="3704"/>
      <c r="M22" s="3704"/>
      <c r="N22" s="3704"/>
      <c r="O22" s="3704"/>
      <c r="P22" s="3704"/>
      <c r="Q22" s="3705"/>
      <c r="R22" s="672">
        <f>ROUND(S22*10000/B22,0)</f>
        <v>10000</v>
      </c>
      <c r="S22" s="24">
        <f>SUM(S24:S10000)</f>
        <v>100</v>
      </c>
    </row>
    <row r="23" spans="1:45" s="12" customFormat="1" ht="24">
      <c r="A23" s="11" t="s">
        <v>2782</v>
      </c>
      <c r="B23" s="11" t="s">
        <v>2783</v>
      </c>
      <c r="C23" s="11" t="s">
        <v>2784</v>
      </c>
      <c r="D23" s="11" t="str">
        <f>B5</f>
        <v>修正项2</v>
      </c>
      <c r="E23" s="11" t="s">
        <v>2784</v>
      </c>
      <c r="F23" s="11" t="str">
        <f>B7</f>
        <v>修正项3</v>
      </c>
      <c r="G23" s="11" t="s">
        <v>2784</v>
      </c>
      <c r="H23" s="11" t="str">
        <f>B9</f>
        <v>修正项4</v>
      </c>
      <c r="I23" s="11" t="s">
        <v>2784</v>
      </c>
      <c r="J23" s="11" t="str">
        <f>B11</f>
        <v>修正项5</v>
      </c>
      <c r="K23" s="11" t="s">
        <v>2784</v>
      </c>
      <c r="L23" s="11" t="str">
        <f>B13</f>
        <v>修正项6</v>
      </c>
      <c r="M23" s="11" t="s">
        <v>2784</v>
      </c>
      <c r="N23" s="11" t="str">
        <f>B15</f>
        <v>修正项7</v>
      </c>
      <c r="O23" s="11" t="s">
        <v>2784</v>
      </c>
      <c r="P23" s="11" t="str">
        <f>B17</f>
        <v>楼层</v>
      </c>
      <c r="Q23" s="11" t="s">
        <v>2784</v>
      </c>
      <c r="R23" s="673" t="s">
        <v>2785</v>
      </c>
      <c r="S23" s="11" t="s">
        <v>2786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2787</v>
      </c>
      <c r="B24" s="674">
        <v>100</v>
      </c>
      <c r="C24" s="3011">
        <v>1</v>
      </c>
      <c r="D24" s="3012"/>
      <c r="E24" s="3011">
        <v>1</v>
      </c>
      <c r="F24" s="3012"/>
      <c r="G24" s="3011">
        <v>1</v>
      </c>
      <c r="H24" s="3012"/>
      <c r="I24" s="3011">
        <v>1</v>
      </c>
      <c r="J24" s="3012"/>
      <c r="K24" s="3011">
        <v>1</v>
      </c>
      <c r="L24" s="3012"/>
      <c r="M24" s="3011">
        <v>1</v>
      </c>
      <c r="N24" s="3012"/>
      <c r="O24" s="3011">
        <v>1</v>
      </c>
      <c r="P24" s="3012"/>
      <c r="Q24" s="301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70472</v>
      </c>
      <c r="C2" s="2" t="s">
        <v>133</v>
      </c>
      <c r="D2" s="205"/>
      <c r="E2" s="205"/>
      <c r="F2" s="205"/>
      <c r="G2" s="205"/>
    </row>
    <row r="3" spans="1:7" s="206" customFormat="1" ht="18" customHeight="1" thickBot="1">
      <c r="A3" s="209" t="s">
        <v>85</v>
      </c>
      <c r="B3" s="210">
        <f ca="1">ROUND(B2*10000/'数据-汇总表'!E3,0)</f>
        <v>10082</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2027</v>
      </c>
      <c r="D10" s="954">
        <f>'数据-汇总表'!E6</f>
        <v>69898.900000000009</v>
      </c>
      <c r="E10" s="231">
        <f>'数据-取费表'!B28</f>
        <v>290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1398</v>
      </c>
      <c r="D19" s="958">
        <f>'数据-汇总表'!E3</f>
        <v>69898.900000000009</v>
      </c>
      <c r="E19" s="217">
        <f>'数据-取费表'!B31</f>
        <v>200</v>
      </c>
      <c r="F19" s="237"/>
      <c r="G19" s="1" t="s">
        <v>1042</v>
      </c>
    </row>
    <row r="20" spans="1:7" s="220" customFormat="1" ht="13.5" customHeight="1">
      <c r="A20" s="885" t="s">
        <v>1025</v>
      </c>
      <c r="B20" s="216" t="s">
        <v>104</v>
      </c>
      <c r="C20" s="238">
        <f>ROUND((C5+C19)*F20,0)</f>
        <v>440</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1975</v>
      </c>
      <c r="D22" s="241">
        <f ca="1">C26</f>
        <v>8.9999999999999998E-4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1832</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124</v>
      </c>
      <c r="D24" s="244"/>
      <c r="E24" s="244"/>
      <c r="F24" s="245"/>
      <c r="G24" s="246" t="s">
        <v>109</v>
      </c>
    </row>
    <row r="25" spans="1:7" s="220" customFormat="1" ht="24">
      <c r="A25" s="888" t="s">
        <v>793</v>
      </c>
      <c r="B25" s="221" t="s">
        <v>1026</v>
      </c>
      <c r="C25" s="1237">
        <f ca="1">ROUND(IF('数据-取费表'!B22&lt;=1,C20*F22*'数据-取费表'!B23/2,C20*(POWER((1+F22),'数据-取费表'!B23/2)-1)),0)</f>
        <v>19</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4490</v>
      </c>
      <c r="D27" s="241">
        <f>C29</f>
        <v>4.0000000000000001E-3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4490</v>
      </c>
      <c r="D28" s="241"/>
      <c r="E28" s="242"/>
      <c r="F28" s="252"/>
      <c r="G28" s="253"/>
    </row>
    <row r="29" spans="1:7" s="220" customFormat="1" ht="13.5" customHeight="1">
      <c r="A29" s="888" t="s">
        <v>792</v>
      </c>
      <c r="B29" s="254" t="s">
        <v>1031</v>
      </c>
      <c r="C29" s="244">
        <f>ROUND(C21*F27*'数据-取费表'!B21/'数据-取费表'!B20,4)</f>
        <v>4.0000000000000001E-3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31335</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30615</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27959</v>
      </c>
      <c r="D34" s="223"/>
      <c r="E34" s="226"/>
      <c r="F34" s="263">
        <f>IF('数据-取费表'!B24=0,1,'数据-取费表'!N16)</f>
        <v>1</v>
      </c>
      <c r="G34" s="225" t="s">
        <v>116</v>
      </c>
    </row>
    <row r="35" spans="1:7" ht="13.5" customHeight="1">
      <c r="A35" s="888" t="s">
        <v>796</v>
      </c>
      <c r="B35" s="221" t="s">
        <v>60</v>
      </c>
      <c r="C35" s="226">
        <f>ROUND(C34*F35,0)</f>
        <v>839</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1398</v>
      </c>
      <c r="D37" s="223">
        <f>'数据-汇总表'!E3</f>
        <v>69898.900000000009</v>
      </c>
      <c r="E37" s="255">
        <f>'数据-取费表'!B35</f>
        <v>200</v>
      </c>
      <c r="F37" s="265"/>
      <c r="G37" s="267" t="s">
        <v>119</v>
      </c>
    </row>
    <row r="38" spans="1:7" ht="13.5" customHeight="1">
      <c r="A38" s="888" t="s">
        <v>799</v>
      </c>
      <c r="B38" s="221" t="s">
        <v>63</v>
      </c>
      <c r="C38" s="226">
        <f>ROUND(C34*F38,0)</f>
        <v>419</v>
      </c>
      <c r="D38" s="226"/>
      <c r="E38" s="226"/>
      <c r="F38" s="265">
        <f>'数据-取费表'!B36</f>
        <v>1.4999999999999999E-2</v>
      </c>
      <c r="G38" s="225" t="s">
        <v>117</v>
      </c>
    </row>
    <row r="39" spans="1:7" s="220" customFormat="1" ht="13.5" customHeight="1">
      <c r="A39" s="885" t="s">
        <v>783</v>
      </c>
      <c r="B39" s="216" t="s">
        <v>104</v>
      </c>
      <c r="C39" s="238">
        <f>ROUND(C33*F20,0)</f>
        <v>612</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1359</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1332</v>
      </c>
      <c r="D42" s="244"/>
      <c r="E42" s="244"/>
      <c r="F42" s="245"/>
      <c r="G42" s="3565" t="s">
        <v>121</v>
      </c>
    </row>
    <row r="43" spans="1:7" ht="13.5" customHeight="1">
      <c r="A43" s="888" t="s">
        <v>792</v>
      </c>
      <c r="B43" s="221" t="s">
        <v>1032</v>
      </c>
      <c r="C43" s="244">
        <f ca="1">ROUND(IF('数据-取费表'!B22&lt;=1,C39*F22*'数据-取费表'!B21/2,C39*(POWER((1+F22),'数据-取费表'!B21/2)-1)),0)</f>
        <v>27</v>
      </c>
      <c r="D43" s="244"/>
      <c r="E43" s="244"/>
      <c r="F43" s="245"/>
      <c r="G43" s="3566"/>
    </row>
    <row r="44" spans="1:7" ht="13.5" customHeight="1">
      <c r="A44" s="888" t="s">
        <v>793</v>
      </c>
      <c r="B44" s="221" t="s">
        <v>1034</v>
      </c>
      <c r="C44" s="244">
        <f ca="1">ROUND(IF('数据-取费表'!B22&lt;=1,C40*F22*'数据-取费表'!B21/2,C40*(POWER((1+F22),'数据-取费表'!B21/2)-1)),4)</f>
        <v>8.9999999999999998E-4</v>
      </c>
      <c r="D44" s="244"/>
      <c r="E44" s="244"/>
      <c r="F44" s="245"/>
      <c r="G44" s="3567"/>
    </row>
    <row r="45" spans="1:7" s="220" customFormat="1" ht="13.5" customHeight="1">
      <c r="A45" s="885" t="s">
        <v>786</v>
      </c>
      <c r="B45" s="250" t="s">
        <v>112</v>
      </c>
      <c r="C45" s="251">
        <f>C46</f>
        <v>6245</v>
      </c>
      <c r="D45" s="241">
        <f>C47</f>
        <v>4.0000000000000001E-3</v>
      </c>
      <c r="E45" s="242" t="s">
        <v>129</v>
      </c>
      <c r="F45" s="252"/>
      <c r="G45" s="253" t="s">
        <v>1040</v>
      </c>
    </row>
    <row r="46" spans="1:7" s="220" customFormat="1" ht="13.5" customHeight="1">
      <c r="A46" s="888" t="s">
        <v>794</v>
      </c>
      <c r="B46" s="254" t="s">
        <v>1033</v>
      </c>
      <c r="C46" s="255">
        <f>ROUND((C33+C39)*F27,0)</f>
        <v>6245</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42083</v>
      </c>
      <c r="D49" s="238"/>
      <c r="E49" s="238"/>
      <c r="F49" s="270"/>
      <c r="G49" s="240" t="s">
        <v>1041</v>
      </c>
    </row>
    <row r="50" spans="1:7" s="264" customFormat="1" ht="24">
      <c r="A50" s="885" t="s">
        <v>789</v>
      </c>
      <c r="B50" s="216" t="s">
        <v>124</v>
      </c>
      <c r="C50" s="238"/>
      <c r="D50" s="238"/>
      <c r="E50" s="238"/>
      <c r="F50" s="270">
        <f>IF('数据-取费表'!B24=0,'数据-取费表'!N16,1)</f>
        <v>0.93</v>
      </c>
      <c r="G50" s="253" t="s">
        <v>125</v>
      </c>
    </row>
    <row r="51" spans="1:7" ht="16.5" customHeight="1">
      <c r="A51" s="885" t="s">
        <v>790</v>
      </c>
      <c r="B51" s="216" t="s">
        <v>132</v>
      </c>
      <c r="C51" s="238">
        <f ca="1">ROUND(C49*F50,0)</f>
        <v>39137</v>
      </c>
      <c r="D51" s="238"/>
      <c r="E51" s="238"/>
      <c r="F51" s="270"/>
      <c r="G51" s="240" t="s">
        <v>64</v>
      </c>
    </row>
    <row r="52" spans="1:7" s="214" customFormat="1" ht="16.5" thickBot="1">
      <c r="A52" s="271" t="s">
        <v>65</v>
      </c>
      <c r="B52" s="272"/>
      <c r="C52" s="273">
        <f ca="1">C31+C51</f>
        <v>70472</v>
      </c>
      <c r="D52" s="272"/>
      <c r="E52" s="272"/>
      <c r="F52" s="272"/>
      <c r="G52" s="274"/>
    </row>
    <row r="55" spans="1:7" ht="15">
      <c r="B55" s="276" t="s">
        <v>66</v>
      </c>
      <c r="C55" s="277"/>
    </row>
    <row r="56" spans="1:7">
      <c r="B56" s="279" t="s">
        <v>67</v>
      </c>
      <c r="C56" s="280">
        <f ca="1">ROUND(C51/C52,3)</f>
        <v>0.55500000000000005</v>
      </c>
    </row>
    <row r="57" spans="1:7">
      <c r="B57" s="279" t="s">
        <v>68</v>
      </c>
      <c r="C57" s="281">
        <f ca="1">1-C56</f>
        <v>0.44499999999999995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709" t="s">
        <v>156</v>
      </c>
      <c r="B1" s="3709"/>
      <c r="C1" s="3709"/>
      <c r="D1" s="3709"/>
      <c r="E1" s="3709"/>
      <c r="F1" s="3709"/>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710" t="s">
        <v>169</v>
      </c>
      <c r="B2" s="3710"/>
      <c r="C2" s="3710"/>
      <c r="D2" s="3710"/>
      <c r="E2" s="3710"/>
      <c r="F2" s="3710"/>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711"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712"/>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709" t="s">
        <v>839</v>
      </c>
      <c r="B1" s="3709"/>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44543</v>
      </c>
      <c r="D1" s="1442" t="s">
        <v>1209</v>
      </c>
      <c r="E1" s="1437">
        <f>'数据-取费表'!B22</f>
        <v>2</v>
      </c>
      <c r="F1" s="1442" t="s">
        <v>1210</v>
      </c>
      <c r="G1" s="1438">
        <f ca="1">INDIRECT("d"&amp;$K$1)/100</f>
        <v>3.85E-2</v>
      </c>
      <c r="H1" s="1442" t="s">
        <v>1240</v>
      </c>
      <c r="I1" s="1438">
        <f ca="1">F4/100</f>
        <v>1.4999999999999999E-2</v>
      </c>
      <c r="J1" s="1443">
        <f>IF(C1&gt;C13,0,MATCH(C1,C$13:C$105,-1))+IF(SUMIF(C13:C105,C1,D13:D105)=0,13,12)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3.85</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3.85</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3.85</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3.85</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4.6500000000000004</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2">
        <v>43941</v>
      </c>
      <c r="D13" s="3023">
        <v>3.85</v>
      </c>
      <c r="E13" s="3023">
        <v>3.85</v>
      </c>
      <c r="F13" s="3023">
        <v>3.85</v>
      </c>
      <c r="G13" s="3023">
        <v>3.85</v>
      </c>
      <c r="H13" s="3023">
        <v>4.6500000000000004</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8"/>
      <c r="C14" s="3019">
        <v>43881</v>
      </c>
      <c r="D14" s="3018">
        <v>4.05</v>
      </c>
      <c r="E14" s="3018">
        <v>4.05</v>
      </c>
      <c r="F14" s="3018">
        <v>4.05</v>
      </c>
      <c r="G14" s="3018">
        <v>4.05</v>
      </c>
      <c r="H14" s="3018">
        <v>4.75</v>
      </c>
      <c r="I14" s="3018"/>
      <c r="J14" s="3018"/>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8"/>
      <c r="C15" s="3019">
        <v>43789</v>
      </c>
      <c r="D15" s="3018">
        <v>4.1500000000000004</v>
      </c>
      <c r="E15" s="3018">
        <v>4.1500000000000004</v>
      </c>
      <c r="F15" s="3018">
        <v>4.1500000000000004</v>
      </c>
      <c r="G15" s="3018">
        <v>4.1500000000000004</v>
      </c>
      <c r="H15" s="3018">
        <v>4.8</v>
      </c>
      <c r="I15" s="3018"/>
      <c r="J15" s="3018"/>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8"/>
      <c r="C16" s="3019">
        <v>43728</v>
      </c>
      <c r="D16" s="3018">
        <v>4.2</v>
      </c>
      <c r="E16" s="3018">
        <v>4.2</v>
      </c>
      <c r="F16" s="3018">
        <v>4.2</v>
      </c>
      <c r="G16" s="3018">
        <v>4.2</v>
      </c>
      <c r="H16" s="3018">
        <v>4.8499999999999996</v>
      </c>
      <c r="I16" s="3018"/>
      <c r="J16" s="3018"/>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7" t="s">
        <v>3001</v>
      </c>
      <c r="C17" s="3020">
        <v>43697</v>
      </c>
      <c r="D17" s="3021">
        <v>4.25</v>
      </c>
      <c r="E17" s="3021">
        <v>4.25</v>
      </c>
      <c r="F17" s="3021">
        <v>4.25</v>
      </c>
      <c r="G17" s="3021">
        <v>4.25</v>
      </c>
      <c r="H17" s="3021">
        <v>4.8499999999999996</v>
      </c>
      <c r="I17" s="3021"/>
      <c r="J17" s="3021"/>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s="3029" customFormat="1" ht="15">
      <c r="A18" s="3024"/>
      <c r="B18" s="3025"/>
      <c r="C18" s="3026">
        <v>42301</v>
      </c>
      <c r="D18" s="3027">
        <v>4.3499999999999996</v>
      </c>
      <c r="E18" s="3027">
        <v>4.3499999999999996</v>
      </c>
      <c r="F18" s="3027">
        <v>4.75</v>
      </c>
      <c r="G18" s="3027">
        <v>4.75</v>
      </c>
      <c r="H18" s="3027">
        <v>4.9000000000000004</v>
      </c>
      <c r="I18" s="3027"/>
      <c r="J18" s="3027"/>
      <c r="K18" s="1418"/>
      <c r="L18" s="3027"/>
      <c r="M18" s="3026">
        <v>41965</v>
      </c>
      <c r="N18" s="3027">
        <v>0.35</v>
      </c>
      <c r="O18" s="3027">
        <v>2.35</v>
      </c>
      <c r="P18" s="3027">
        <v>2.5499999999999998</v>
      </c>
      <c r="Q18" s="3027">
        <v>2.75</v>
      </c>
      <c r="R18" s="3027">
        <v>3.35</v>
      </c>
      <c r="S18" s="3027">
        <v>4</v>
      </c>
      <c r="T18" s="3027">
        <v>4.75</v>
      </c>
      <c r="U18" s="3028">
        <v>2.35</v>
      </c>
      <c r="V18" s="3028">
        <v>2.5499999999999998</v>
      </c>
      <c r="W18" s="3028">
        <v>2.75</v>
      </c>
      <c r="X18" s="3027"/>
      <c r="Y18" s="3028">
        <v>0.8</v>
      </c>
      <c r="Z18" s="3028">
        <v>1.35</v>
      </c>
      <c r="AA18" s="1423"/>
      <c r="AB18" s="1423"/>
      <c r="AC18" s="1423"/>
      <c r="AD18" s="1423"/>
      <c r="AE18" s="1423"/>
      <c r="AF18" s="1423"/>
      <c r="AG18" s="1423"/>
      <c r="AH18" s="1423"/>
      <c r="AI18" s="1423"/>
      <c r="AJ18" s="1423"/>
      <c r="AK18" s="1423"/>
      <c r="AL18" s="1423"/>
      <c r="AM18" s="1423"/>
      <c r="AN18" s="1423"/>
      <c r="AO18" s="1423"/>
      <c r="AP18" s="1423"/>
      <c r="AQ18" s="1423"/>
      <c r="AR18" s="1423"/>
      <c r="AS18" s="1423"/>
      <c r="AT18" s="1423"/>
      <c r="AU18" s="1423"/>
      <c r="AV18" s="1423"/>
      <c r="AW18" s="1423"/>
      <c r="AX18" s="1423"/>
      <c r="AY18" s="1423"/>
      <c r="AZ18" s="1423"/>
      <c r="BA18" s="1423"/>
      <c r="BB18" s="1423"/>
      <c r="BC18" s="1423"/>
      <c r="BD18" s="1423"/>
      <c r="BE18" s="1423"/>
      <c r="BF18" s="1423"/>
      <c r="BG18" s="1423"/>
      <c r="BH18" s="1423"/>
      <c r="BI18" s="1423"/>
      <c r="BJ18" s="1423"/>
      <c r="BK18" s="1423"/>
      <c r="BL18" s="1423"/>
      <c r="BM18" s="1423"/>
      <c r="BN18" s="1423"/>
      <c r="BO18" s="1423"/>
      <c r="BP18" s="1423"/>
      <c r="BQ18" s="1423"/>
      <c r="BR18" s="1423"/>
      <c r="BS18" s="1423"/>
      <c r="BT18" s="1423"/>
      <c r="BU18" s="1423"/>
      <c r="BV18" s="1423"/>
      <c r="BW18" s="1423"/>
      <c r="BX18" s="1423"/>
      <c r="BY18" s="1423"/>
      <c r="BZ18" s="1423"/>
      <c r="CA18" s="1423"/>
      <c r="CB18" s="1423"/>
      <c r="CC18" s="1423"/>
      <c r="CD18" s="1423"/>
      <c r="CE18" s="1423"/>
      <c r="CF18" s="1423"/>
      <c r="CG18" s="1423"/>
      <c r="CH18" s="1423"/>
      <c r="CI18" s="1423"/>
      <c r="CJ18" s="1423"/>
      <c r="CK18" s="1423"/>
      <c r="CL18" s="1423"/>
      <c r="CM18" s="1423"/>
      <c r="CN18" s="1423"/>
      <c r="CO18" s="1423"/>
      <c r="CP18" s="1423"/>
      <c r="CQ18" s="1423"/>
      <c r="CR18" s="1423"/>
      <c r="CS18" s="1423"/>
      <c r="CT18" s="1423"/>
      <c r="CU18" s="1423"/>
      <c r="CV18" s="1423"/>
      <c r="CW18" s="1423"/>
      <c r="CX18" s="1423"/>
      <c r="CY18" s="1423"/>
      <c r="CZ18" s="1423"/>
      <c r="DA18" s="1423"/>
      <c r="DB18" s="1423"/>
      <c r="DC18" s="1423"/>
      <c r="DD18" s="1423"/>
      <c r="DE18" s="1423"/>
      <c r="DF18" s="1423"/>
      <c r="DG18" s="1423"/>
      <c r="DH18" s="1423"/>
      <c r="DI18" s="1423"/>
      <c r="DJ18" s="1423"/>
      <c r="DK18" s="1423"/>
      <c r="DL18" s="1423"/>
      <c r="DM18" s="1423"/>
      <c r="DN18" s="1423"/>
      <c r="DO18" s="1423"/>
      <c r="DP18" s="1423"/>
      <c r="DQ18" s="1423"/>
      <c r="DR18" s="1423"/>
      <c r="DS18" s="1423"/>
      <c r="DT18" s="1423"/>
      <c r="DU18" s="1423"/>
      <c r="DV18" s="1423"/>
      <c r="DW18" s="1423"/>
      <c r="DX18" s="1423"/>
      <c r="DY18" s="1423"/>
      <c r="DZ18" s="1423"/>
      <c r="EA18" s="1423"/>
      <c r="EB18" s="1423"/>
      <c r="EC18" s="1423"/>
      <c r="ED18" s="1423"/>
      <c r="EE18" s="1423"/>
      <c r="EF18" s="1423"/>
      <c r="EG18" s="1423"/>
      <c r="EH18" s="1423"/>
      <c r="EI18" s="1423"/>
      <c r="EJ18" s="1423"/>
      <c r="EK18" s="1423"/>
      <c r="EL18" s="1423"/>
      <c r="EM18" s="1423"/>
      <c r="EN18" s="1423"/>
      <c r="EO18" s="1423"/>
      <c r="EP18" s="1423"/>
      <c r="EQ18" s="1423"/>
      <c r="ER18" s="1423"/>
      <c r="ES18" s="1423"/>
      <c r="ET18" s="1423"/>
      <c r="EU18" s="1423"/>
      <c r="EV18" s="1423"/>
      <c r="EW18" s="1423"/>
      <c r="EX18" s="1423"/>
      <c r="EY18" s="1423"/>
      <c r="EZ18" s="1423"/>
      <c r="FA18" s="1423"/>
      <c r="FB18" s="1423"/>
      <c r="FC18" s="1423"/>
      <c r="FD18" s="1423"/>
      <c r="FE18" s="1423"/>
      <c r="FF18" s="1423"/>
      <c r="FG18" s="1423"/>
      <c r="FH18" s="1423"/>
      <c r="FI18" s="1423"/>
      <c r="FJ18" s="1423"/>
      <c r="FK18" s="1423"/>
      <c r="FL18" s="1423"/>
      <c r="FM18" s="1423"/>
      <c r="FN18" s="1423"/>
      <c r="FO18" s="1423"/>
      <c r="FP18" s="1423"/>
      <c r="FQ18" s="1423"/>
      <c r="FR18" s="1423"/>
      <c r="FS18" s="1423"/>
      <c r="FT18" s="1423"/>
      <c r="FU18" s="1423"/>
      <c r="FV18" s="1423"/>
      <c r="FW18" s="1423"/>
      <c r="FX18" s="1423"/>
      <c r="FY18" s="1423"/>
      <c r="FZ18" s="1423"/>
      <c r="GA18" s="1423"/>
      <c r="GB18" s="1423"/>
      <c r="GC18" s="1423"/>
      <c r="GD18" s="1423"/>
      <c r="GE18" s="1423"/>
      <c r="GF18" s="1423"/>
      <c r="GG18" s="1423"/>
      <c r="GH18" s="1423"/>
      <c r="GI18" s="1423"/>
      <c r="GJ18" s="1423"/>
      <c r="GK18" s="1423"/>
      <c r="GL18" s="1423"/>
      <c r="GM18" s="1423"/>
      <c r="GN18" s="1423"/>
      <c r="GO18" s="1423"/>
      <c r="GP18" s="1423"/>
      <c r="GQ18" s="1423"/>
      <c r="GR18" s="1423"/>
      <c r="GS18" s="1423"/>
      <c r="GT18" s="1423"/>
      <c r="GU18" s="1423"/>
      <c r="GV18" s="1423"/>
      <c r="GW18" s="1423"/>
      <c r="GX18" s="1423"/>
      <c r="GY18" s="1423"/>
      <c r="GZ18" s="1423"/>
      <c r="HA18" s="1423"/>
      <c r="HB18" s="1423"/>
      <c r="HC18" s="1423"/>
      <c r="HD18" s="1423"/>
      <c r="HE18" s="1423"/>
      <c r="HF18" s="1423"/>
      <c r="HG18" s="1423"/>
      <c r="HH18" s="1423"/>
      <c r="HI18" s="1423"/>
      <c r="HJ18" s="1423"/>
      <c r="HK18" s="1423"/>
      <c r="HL18" s="1423"/>
      <c r="HM18" s="1423"/>
      <c r="HN18" s="1423"/>
      <c r="HO18" s="1423"/>
      <c r="HP18" s="1423"/>
      <c r="HQ18" s="1423"/>
      <c r="HR18" s="1423"/>
      <c r="HS18" s="1423"/>
      <c r="HT18" s="1423"/>
      <c r="HU18" s="1423"/>
      <c r="HV18" s="1423"/>
      <c r="HW18" s="1423"/>
      <c r="HX18" s="1423"/>
      <c r="HY18" s="1423"/>
      <c r="HZ18" s="1423"/>
      <c r="IA18" s="1423"/>
      <c r="IB18" s="1423"/>
      <c r="IC18" s="1423"/>
      <c r="ID18" s="1423"/>
      <c r="IE18" s="1423"/>
      <c r="IF18" s="1423"/>
      <c r="IG18" s="1423"/>
      <c r="IH18" s="1423"/>
      <c r="II18" s="1423"/>
      <c r="IJ18" s="1423"/>
      <c r="IK18" s="1423"/>
      <c r="IL18" s="1423"/>
      <c r="IM18" s="1423"/>
      <c r="IN18" s="1423"/>
      <c r="IO18" s="1423"/>
      <c r="IP18" s="1423"/>
      <c r="IQ18" s="1423"/>
      <c r="IR18" s="1423"/>
      <c r="IS18" s="1423"/>
      <c r="IT18" s="1423"/>
      <c r="IU18" s="1423"/>
      <c r="IV18" s="1423"/>
    </row>
    <row r="19" spans="1:256">
      <c r="B19" s="1430"/>
      <c r="C19" s="1431">
        <v>42242</v>
      </c>
      <c r="D19" s="1430">
        <v>4.5999999999999996</v>
      </c>
      <c r="E19" s="1430">
        <v>4.5999999999999996</v>
      </c>
      <c r="F19" s="1430">
        <v>5</v>
      </c>
      <c r="G19" s="1430">
        <v>5</v>
      </c>
      <c r="H19" s="1430">
        <v>5.15</v>
      </c>
      <c r="I19" s="1430">
        <v>2.75</v>
      </c>
      <c r="J19" s="1430">
        <v>3.25</v>
      </c>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row>
    <row r="20" spans="1:256">
      <c r="B20" s="1430"/>
      <c r="C20" s="1431">
        <v>42183</v>
      </c>
      <c r="D20" s="1430">
        <v>4.8499999999999996</v>
      </c>
      <c r="E20" s="1430">
        <v>4.8499999999999996</v>
      </c>
      <c r="F20" s="1430">
        <v>5.25</v>
      </c>
      <c r="G20" s="1430">
        <v>5.25</v>
      </c>
      <c r="H20" s="1430">
        <v>5.4</v>
      </c>
      <c r="I20" s="1430">
        <v>3</v>
      </c>
      <c r="J20" s="1430">
        <v>3.5</v>
      </c>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42135</v>
      </c>
      <c r="D21" s="1430">
        <v>5.0999999999999996</v>
      </c>
      <c r="E21" s="1430">
        <v>5.0999999999999996</v>
      </c>
      <c r="F21" s="1430">
        <v>5.5</v>
      </c>
      <c r="G21" s="1430">
        <v>5.5</v>
      </c>
      <c r="H21" s="1430">
        <v>5.65</v>
      </c>
      <c r="I21" s="1430">
        <v>3.25</v>
      </c>
      <c r="J21" s="1430">
        <v>3.75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42064</v>
      </c>
      <c r="D22" s="1430">
        <v>5.35</v>
      </c>
      <c r="E22" s="1430">
        <v>5.35</v>
      </c>
      <c r="F22" s="1430">
        <v>5.75</v>
      </c>
      <c r="G22" s="1430">
        <v>5.75</v>
      </c>
      <c r="H22" s="1430">
        <v>5.9</v>
      </c>
      <c r="I22" s="1430"/>
      <c r="J22" s="1430"/>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41965</v>
      </c>
      <c r="D23" s="1430">
        <v>5.6</v>
      </c>
      <c r="E23" s="1430">
        <v>5.6</v>
      </c>
      <c r="F23" s="1430">
        <v>6</v>
      </c>
      <c r="G23" s="1430">
        <v>6</v>
      </c>
      <c r="H23" s="1430">
        <v>6.15</v>
      </c>
      <c r="I23" s="1430"/>
      <c r="J23" s="1430"/>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41096</v>
      </c>
      <c r="D24" s="1430">
        <v>5.6</v>
      </c>
      <c r="E24" s="1430">
        <v>6</v>
      </c>
      <c r="F24" s="1430">
        <v>6.15</v>
      </c>
      <c r="G24" s="1430">
        <v>6.4</v>
      </c>
      <c r="H24" s="1430">
        <v>6.55</v>
      </c>
      <c r="I24" s="1430">
        <v>4</v>
      </c>
      <c r="J24" s="1430">
        <v>4.5</v>
      </c>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41068</v>
      </c>
      <c r="D25" s="1430">
        <v>5.85</v>
      </c>
      <c r="E25" s="1430">
        <v>6.31</v>
      </c>
      <c r="F25" s="1430">
        <v>6.4</v>
      </c>
      <c r="G25" s="1430">
        <v>6.65</v>
      </c>
      <c r="H25" s="1430">
        <v>6.8</v>
      </c>
      <c r="I25" s="1430">
        <v>4.2</v>
      </c>
      <c r="J25" s="1430">
        <v>4.7</v>
      </c>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40731</v>
      </c>
      <c r="D26" s="1430">
        <v>6.1</v>
      </c>
      <c r="E26" s="1430">
        <v>6.56</v>
      </c>
      <c r="F26" s="1430">
        <v>6.65</v>
      </c>
      <c r="G26" s="1430">
        <v>6.9</v>
      </c>
      <c r="H26" s="1430">
        <v>7.05</v>
      </c>
      <c r="I26" s="1430">
        <v>4.45</v>
      </c>
      <c r="J26" s="1430">
        <v>4.9000000000000004</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40639</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40583</v>
      </c>
      <c r="D28" s="1430">
        <v>5.6</v>
      </c>
      <c r="E28" s="1430">
        <v>6.06</v>
      </c>
      <c r="F28" s="1430">
        <v>6.1</v>
      </c>
      <c r="G28" s="1430">
        <v>6.45</v>
      </c>
      <c r="H28" s="1430">
        <v>6.6</v>
      </c>
      <c r="I28" s="1430">
        <v>4</v>
      </c>
      <c r="J28" s="1430">
        <v>4.5</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40538</v>
      </c>
      <c r="D29" s="1430">
        <v>5.35</v>
      </c>
      <c r="E29" s="1430">
        <v>5.81</v>
      </c>
      <c r="F29" s="1430">
        <v>5.85</v>
      </c>
      <c r="G29" s="1430">
        <v>6.22</v>
      </c>
      <c r="H29" s="1430">
        <v>6.4</v>
      </c>
      <c r="I29" s="1430">
        <v>3.75</v>
      </c>
      <c r="J29" s="1430">
        <v>4.3</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40471</v>
      </c>
      <c r="D30" s="1430">
        <v>5.0999999999999996</v>
      </c>
      <c r="E30" s="1430">
        <v>5.56</v>
      </c>
      <c r="F30" s="1430">
        <v>5.6</v>
      </c>
      <c r="G30" s="1430">
        <v>5.96</v>
      </c>
      <c r="H30" s="1430">
        <v>6.14</v>
      </c>
      <c r="I30" s="1430">
        <v>3.5</v>
      </c>
      <c r="J30" s="1430">
        <v>4.05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39805</v>
      </c>
      <c r="D31" s="1430">
        <v>4.8600000000000003</v>
      </c>
      <c r="E31" s="1430">
        <v>5.31</v>
      </c>
      <c r="F31" s="1430">
        <v>5.4</v>
      </c>
      <c r="G31" s="1430">
        <v>5.76</v>
      </c>
      <c r="H31" s="1430">
        <v>5.94</v>
      </c>
      <c r="I31" s="1430">
        <v>3.33</v>
      </c>
      <c r="J31" s="1430">
        <v>3.87</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39779</v>
      </c>
      <c r="D32" s="1430">
        <v>5.04</v>
      </c>
      <c r="E32" s="1430">
        <v>5.58</v>
      </c>
      <c r="F32" s="1430">
        <v>5.67</v>
      </c>
      <c r="G32" s="1430">
        <v>5.94</v>
      </c>
      <c r="H32" s="1430">
        <v>6.12</v>
      </c>
      <c r="I32" s="1430">
        <v>3.51</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39751</v>
      </c>
      <c r="D33" s="1430">
        <v>6.03</v>
      </c>
      <c r="E33" s="1430">
        <v>6.66</v>
      </c>
      <c r="F33" s="1430">
        <v>6.75</v>
      </c>
      <c r="G33" s="1430">
        <v>7.02</v>
      </c>
      <c r="H33" s="1430">
        <v>7.2</v>
      </c>
      <c r="I33" s="1430">
        <v>4.05</v>
      </c>
      <c r="J33" s="1430">
        <v>4.59</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2">
        <v>39748</v>
      </c>
      <c r="D34" s="1430">
        <v>6.12</v>
      </c>
      <c r="E34" s="1430">
        <v>6.93</v>
      </c>
      <c r="F34" s="1430">
        <v>7.02</v>
      </c>
      <c r="G34" s="1430">
        <v>7.29</v>
      </c>
      <c r="H34" s="1430">
        <v>7.47</v>
      </c>
      <c r="I34" s="1430">
        <v>4.05</v>
      </c>
      <c r="J34" s="1430">
        <v>4.59</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39730</v>
      </c>
      <c r="D35" s="1430">
        <v>6.12</v>
      </c>
      <c r="E35" s="1430">
        <v>6.93</v>
      </c>
      <c r="F35" s="1430">
        <v>7.02</v>
      </c>
      <c r="G35" s="1430">
        <v>7.29</v>
      </c>
      <c r="H35" s="1430">
        <v>7.47</v>
      </c>
      <c r="I35" s="1430">
        <v>4.32</v>
      </c>
      <c r="J35" s="1430">
        <v>4.8600000000000003</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1">
        <v>39707</v>
      </c>
      <c r="D36" s="1430">
        <v>6.21</v>
      </c>
      <c r="E36" s="1430">
        <v>7.2</v>
      </c>
      <c r="F36" s="1430">
        <v>7.29</v>
      </c>
      <c r="G36" s="1430">
        <v>7.56</v>
      </c>
      <c r="H36" s="1430">
        <v>7.74</v>
      </c>
      <c r="I36" s="1430">
        <v>4.59</v>
      </c>
      <c r="J36" s="1430">
        <v>5.13</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39437</v>
      </c>
      <c r="D37" s="1430">
        <v>6.57</v>
      </c>
      <c r="E37" s="1430">
        <v>7.47</v>
      </c>
      <c r="F37" s="1430">
        <v>7.56</v>
      </c>
      <c r="G37" s="1430">
        <v>7.74</v>
      </c>
      <c r="H37" s="1430">
        <v>7.83</v>
      </c>
      <c r="I37" s="1430">
        <v>4.7699999999999996</v>
      </c>
      <c r="J37" s="1430">
        <v>5.22</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39340</v>
      </c>
      <c r="D38" s="1430">
        <v>6.48</v>
      </c>
      <c r="E38" s="1430">
        <v>7.29</v>
      </c>
      <c r="F38" s="1430">
        <v>7.47</v>
      </c>
      <c r="G38" s="1430">
        <v>7.65</v>
      </c>
      <c r="H38" s="1430">
        <v>7.83</v>
      </c>
      <c r="I38" s="1430">
        <v>4.7699999999999996</v>
      </c>
      <c r="J38" s="1430">
        <v>5.22</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39316</v>
      </c>
      <c r="D39" s="1430">
        <v>6.21</v>
      </c>
      <c r="E39" s="1430">
        <v>7.02</v>
      </c>
      <c r="F39" s="1430">
        <v>7.2</v>
      </c>
      <c r="G39" s="1430">
        <v>7.38</v>
      </c>
      <c r="H39" s="1430">
        <v>7.56</v>
      </c>
      <c r="I39" s="1430">
        <v>4.59</v>
      </c>
      <c r="J39" s="1430">
        <v>5.04</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39284</v>
      </c>
      <c r="D40" s="1430">
        <v>6.03</v>
      </c>
      <c r="E40" s="1430">
        <v>6.84</v>
      </c>
      <c r="F40" s="1430">
        <v>7.02</v>
      </c>
      <c r="G40" s="1430">
        <v>7.2</v>
      </c>
      <c r="H40" s="1430">
        <v>7.38</v>
      </c>
      <c r="I40" s="1430">
        <v>4.5</v>
      </c>
      <c r="J40" s="1430">
        <v>4.95</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39221</v>
      </c>
      <c r="D41" s="1430">
        <v>5.85</v>
      </c>
      <c r="E41" s="1430">
        <v>6.57</v>
      </c>
      <c r="F41" s="1430">
        <v>6.75</v>
      </c>
      <c r="G41" s="1430">
        <v>6.93</v>
      </c>
      <c r="H41" s="1430">
        <v>7.2</v>
      </c>
      <c r="I41" s="1430">
        <v>4.41</v>
      </c>
      <c r="J41" s="1430">
        <v>4.8600000000000003</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39159</v>
      </c>
      <c r="D42" s="1430">
        <v>5.67</v>
      </c>
      <c r="E42" s="1430">
        <v>6.39</v>
      </c>
      <c r="F42" s="1430">
        <v>6.57</v>
      </c>
      <c r="G42" s="1430">
        <v>6.75</v>
      </c>
      <c r="H42" s="1430">
        <v>7.11</v>
      </c>
      <c r="I42" s="1430">
        <v>4.32</v>
      </c>
      <c r="J42" s="1430">
        <v>4.7699999999999996</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38948</v>
      </c>
      <c r="D43" s="1430">
        <v>5.58</v>
      </c>
      <c r="E43" s="1430">
        <v>6.12</v>
      </c>
      <c r="F43" s="1430">
        <v>6.3</v>
      </c>
      <c r="G43" s="1430">
        <v>6.48</v>
      </c>
      <c r="H43" s="1430">
        <v>6.84</v>
      </c>
      <c r="I43" s="1430">
        <v>4.1399999999999997</v>
      </c>
      <c r="J43" s="1430">
        <v>4.59</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38835</v>
      </c>
      <c r="D44" s="1430">
        <v>5.4</v>
      </c>
      <c r="E44" s="1430">
        <v>5.85</v>
      </c>
      <c r="F44" s="1430">
        <v>6.03</v>
      </c>
      <c r="G44" s="1430">
        <v>6.12</v>
      </c>
      <c r="H44" s="1430">
        <v>6.39</v>
      </c>
      <c r="I44" s="1430">
        <v>4.1399999999999997</v>
      </c>
      <c r="J44" s="1430">
        <v>4.59</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38428</v>
      </c>
      <c r="D45" s="1430">
        <v>5.22</v>
      </c>
      <c r="E45" s="1430">
        <v>5.58</v>
      </c>
      <c r="F45" s="1430">
        <v>5.76</v>
      </c>
      <c r="G45" s="1430">
        <v>5.85</v>
      </c>
      <c r="H45" s="1430">
        <v>6.12</v>
      </c>
      <c r="I45" s="1430">
        <v>3.96</v>
      </c>
      <c r="J45" s="1430">
        <v>4.41</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38289</v>
      </c>
      <c r="D46" s="1430">
        <v>5.22</v>
      </c>
      <c r="E46" s="1430">
        <v>5.58</v>
      </c>
      <c r="F46" s="1430">
        <v>5.76</v>
      </c>
      <c r="G46" s="1430">
        <v>5.85</v>
      </c>
      <c r="H46" s="1430">
        <v>6.12</v>
      </c>
      <c r="I46" s="1430">
        <v>3.78</v>
      </c>
      <c r="J46" s="1430">
        <v>4.2300000000000004</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37308</v>
      </c>
      <c r="D47" s="1430">
        <v>5.04</v>
      </c>
      <c r="E47" s="1430">
        <v>5.31</v>
      </c>
      <c r="F47" s="1430">
        <v>5.49</v>
      </c>
      <c r="G47" s="1430">
        <v>5.58</v>
      </c>
      <c r="H47" s="1430">
        <v>5.76</v>
      </c>
      <c r="I47" s="1430">
        <v>3.6</v>
      </c>
      <c r="J47" s="1430">
        <v>4.05</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36321</v>
      </c>
      <c r="D48" s="1430">
        <v>5.58</v>
      </c>
      <c r="E48" s="1430">
        <v>5.85</v>
      </c>
      <c r="F48" s="1430">
        <v>5.94</v>
      </c>
      <c r="G48" s="1430">
        <v>6.03</v>
      </c>
      <c r="H48" s="1430">
        <v>6.21</v>
      </c>
      <c r="I48" s="1430">
        <v>4.1399999999999997</v>
      </c>
      <c r="J48" s="1430">
        <v>4.59</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36136</v>
      </c>
      <c r="D49" s="1430">
        <v>6.12</v>
      </c>
      <c r="E49" s="1430">
        <v>6.39</v>
      </c>
      <c r="F49" s="1430">
        <v>6.66</v>
      </c>
      <c r="G49" s="1430">
        <v>7.2</v>
      </c>
      <c r="H49" s="1430">
        <v>7.56</v>
      </c>
      <c r="I49" s="1430">
        <v>0</v>
      </c>
      <c r="J49" s="1430">
        <v>0</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35977</v>
      </c>
      <c r="D50" s="1430">
        <v>6.57</v>
      </c>
      <c r="E50" s="1430">
        <v>6.93</v>
      </c>
      <c r="F50" s="1430">
        <v>7.11</v>
      </c>
      <c r="G50" s="1430">
        <v>7.65</v>
      </c>
      <c r="H50" s="1430">
        <v>8.01</v>
      </c>
      <c r="I50" s="1430">
        <v>0</v>
      </c>
      <c r="J50" s="1430">
        <v>0</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35879</v>
      </c>
      <c r="D51" s="1430">
        <v>7.02</v>
      </c>
      <c r="E51" s="1430">
        <v>7.92</v>
      </c>
      <c r="F51" s="1430">
        <v>9</v>
      </c>
      <c r="G51" s="1430">
        <v>9.7200000000000006</v>
      </c>
      <c r="H51" s="1430">
        <v>10.35</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35726</v>
      </c>
      <c r="D52" s="1430">
        <v>7.65</v>
      </c>
      <c r="E52" s="1430">
        <v>8.64</v>
      </c>
      <c r="F52" s="1430">
        <v>9.36</v>
      </c>
      <c r="G52" s="1430">
        <v>9.9</v>
      </c>
      <c r="H52" s="1430">
        <v>10.53</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35300</v>
      </c>
      <c r="D53" s="1430">
        <v>9.18</v>
      </c>
      <c r="E53" s="1430">
        <v>10.08</v>
      </c>
      <c r="F53" s="1430">
        <v>10.98</v>
      </c>
      <c r="G53" s="1430">
        <v>11.7</v>
      </c>
      <c r="H53" s="1430">
        <v>12.42</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35186</v>
      </c>
      <c r="D54" s="1430">
        <v>9.7200000000000006</v>
      </c>
      <c r="E54" s="1430">
        <v>10.98</v>
      </c>
      <c r="F54" s="1430">
        <v>13.14</v>
      </c>
      <c r="G54" s="1430">
        <v>14.94</v>
      </c>
      <c r="H54" s="1430">
        <v>15.12</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34881</v>
      </c>
      <c r="D55" s="1430">
        <v>10.08</v>
      </c>
      <c r="E55" s="1430">
        <v>12.06</v>
      </c>
      <c r="F55" s="1430">
        <v>13.5</v>
      </c>
      <c r="G55" s="1430">
        <v>15.12</v>
      </c>
      <c r="H55" s="1430">
        <v>15.3</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34700</v>
      </c>
      <c r="D56" s="1430">
        <v>9</v>
      </c>
      <c r="E56" s="1430">
        <v>10.98</v>
      </c>
      <c r="F56" s="1430">
        <v>12.96</v>
      </c>
      <c r="G56" s="1430">
        <v>14.58</v>
      </c>
      <c r="H56" s="1430">
        <v>14.76</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34161</v>
      </c>
      <c r="D57" s="1430">
        <v>9</v>
      </c>
      <c r="E57" s="1430">
        <v>10.98</v>
      </c>
      <c r="F57" s="1430">
        <v>12.24</v>
      </c>
      <c r="G57" s="1430">
        <v>13.86</v>
      </c>
      <c r="H57" s="1430">
        <v>14.04</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34104</v>
      </c>
      <c r="D58" s="1430">
        <v>8.82</v>
      </c>
      <c r="E58" s="1430">
        <v>9.36</v>
      </c>
      <c r="F58" s="1430">
        <v>10.8</v>
      </c>
      <c r="G58" s="1430">
        <v>12.06</v>
      </c>
      <c r="H58" s="1430">
        <v>12.24</v>
      </c>
      <c r="I58" s="1430">
        <v>0</v>
      </c>
      <c r="J58" s="1430">
        <v>0</v>
      </c>
    </row>
    <row r="59" spans="2:26">
      <c r="B59" s="1430"/>
      <c r="C59" s="1431">
        <v>33349</v>
      </c>
      <c r="D59" s="1430">
        <v>8.1</v>
      </c>
      <c r="E59" s="1430">
        <v>8.64</v>
      </c>
      <c r="F59" s="1430">
        <v>9</v>
      </c>
      <c r="G59" s="1430">
        <v>9.5399999999999991</v>
      </c>
      <c r="H59" s="1430">
        <v>9.7200000000000006</v>
      </c>
      <c r="I59" s="1430">
        <v>0</v>
      </c>
      <c r="J59" s="1430">
        <v>0</v>
      </c>
    </row>
    <row r="60" spans="2:26">
      <c r="B60" s="1430"/>
      <c r="C60" s="1431">
        <v>33318</v>
      </c>
      <c r="D60" s="1430">
        <v>9</v>
      </c>
      <c r="E60" s="1430">
        <v>10.08</v>
      </c>
      <c r="F60" s="1430">
        <v>10.8</v>
      </c>
      <c r="G60" s="1430">
        <v>11.52</v>
      </c>
      <c r="H60" s="1430">
        <v>11.88</v>
      </c>
      <c r="I60" s="1430" t="s">
        <v>1239</v>
      </c>
      <c r="J60" s="1430" t="s">
        <v>1239</v>
      </c>
    </row>
    <row r="61" spans="2:26">
      <c r="B61" s="1430"/>
      <c r="C61" s="1431">
        <v>33106</v>
      </c>
      <c r="D61" s="1430">
        <v>8.64</v>
      </c>
      <c r="E61" s="1430">
        <v>9.36</v>
      </c>
      <c r="F61" s="1430">
        <v>10.08</v>
      </c>
      <c r="G61" s="1430">
        <v>10.8</v>
      </c>
      <c r="H61" s="1430">
        <v>11.16</v>
      </c>
      <c r="I61" s="1430">
        <v>0</v>
      </c>
      <c r="J61" s="1430">
        <v>0</v>
      </c>
    </row>
    <row r="62" spans="2:26">
      <c r="B62" s="1430"/>
      <c r="C62" s="1431">
        <v>32540</v>
      </c>
      <c r="D62" s="1430">
        <v>11.34</v>
      </c>
      <c r="E62" s="1430">
        <v>11.34</v>
      </c>
      <c r="F62" s="1430">
        <v>12.78</v>
      </c>
      <c r="G62" s="1430">
        <v>14.4</v>
      </c>
      <c r="H62" s="1430">
        <v>19.260000000000002</v>
      </c>
      <c r="I62" s="1430">
        <v>0</v>
      </c>
      <c r="J62" s="1430">
        <v>0</v>
      </c>
    </row>
    <row r="63" spans="2:26">
      <c r="B63" s="1430"/>
      <c r="C63" s="1431"/>
      <c r="D63" s="1430"/>
      <c r="E63" s="1430"/>
      <c r="F63" s="1430"/>
      <c r="G63" s="1430"/>
      <c r="H63" s="1430"/>
      <c r="I63" s="1430"/>
      <c r="J63" s="1430"/>
    </row>
    <row r="64" spans="2:26">
      <c r="B64" s="1433"/>
      <c r="C64" s="1434"/>
      <c r="D64" s="1433"/>
      <c r="E64" s="1433"/>
      <c r="F64" s="1433"/>
      <c r="G64" s="1433"/>
      <c r="H64" s="1433"/>
      <c r="I64" s="1433"/>
      <c r="J64" s="1433"/>
    </row>
    <row r="65" spans="2:10">
      <c r="B65" s="1433"/>
      <c r="C65" s="1434"/>
      <c r="D65" s="1433"/>
      <c r="E65" s="1433"/>
      <c r="F65" s="1433"/>
      <c r="G65" s="1433"/>
      <c r="H65" s="1433"/>
      <c r="I65" s="1433"/>
      <c r="J65" s="1433"/>
    </row>
    <row r="66" spans="2:10">
      <c r="B66" s="1433"/>
      <c r="C66" s="1434"/>
      <c r="D66" s="1433"/>
      <c r="E66" s="1433"/>
      <c r="F66" s="1433"/>
      <c r="G66" s="1433"/>
      <c r="H66" s="1433"/>
      <c r="I66" s="1433"/>
      <c r="J66" s="1433"/>
    </row>
    <row r="67" spans="2:10">
      <c r="B67" s="1382"/>
      <c r="C67" s="1382"/>
      <c r="D67" s="1382"/>
      <c r="E67" s="1382"/>
      <c r="F67" s="1382"/>
      <c r="G67" s="1382"/>
      <c r="H67" s="1382"/>
      <c r="I67" s="1382"/>
      <c r="J67" s="1382"/>
    </row>
    <row r="68" spans="2:10">
      <c r="B68" s="1382"/>
      <c r="C68" s="1382"/>
      <c r="D68" s="1382"/>
      <c r="E68" s="1382"/>
      <c r="F68" s="1382"/>
      <c r="G68" s="1382"/>
      <c r="H68" s="1382"/>
      <c r="I68" s="1382"/>
      <c r="J68" s="1382"/>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6"/>
  <sheetViews>
    <sheetView workbookViewId="0">
      <selection activeCell="R20" sqref="R20"/>
    </sheetView>
  </sheetViews>
  <sheetFormatPr defaultRowHeight="13.5"/>
  <cols>
    <col min="6" max="6" width="11.75" customWidth="1"/>
    <col min="8" max="8" width="11.625" customWidth="1"/>
    <col min="14" max="14" width="10.25" customWidth="1"/>
    <col min="16" max="16" width="36.375" customWidth="1"/>
  </cols>
  <sheetData>
    <row r="1" spans="1:17">
      <c r="A1" s="3250" t="s">
        <v>3220</v>
      </c>
      <c r="B1" s="3250" t="s">
        <v>3221</v>
      </c>
      <c r="C1" s="3250" t="s">
        <v>3222</v>
      </c>
      <c r="D1" s="3250" t="s">
        <v>3223</v>
      </c>
      <c r="E1" s="3250" t="s">
        <v>3224</v>
      </c>
      <c r="F1" s="3250" t="s">
        <v>3225</v>
      </c>
      <c r="G1" s="3250" t="s">
        <v>3226</v>
      </c>
      <c r="H1" s="3250" t="s">
        <v>3227</v>
      </c>
      <c r="I1" s="3250" t="s">
        <v>3228</v>
      </c>
      <c r="J1" s="3250" t="s">
        <v>3229</v>
      </c>
      <c r="K1" s="3250" t="s">
        <v>3230</v>
      </c>
      <c r="L1" s="3250" t="s">
        <v>3231</v>
      </c>
      <c r="M1" s="3250" t="s">
        <v>3232</v>
      </c>
      <c r="N1" s="3250" t="s">
        <v>3233</v>
      </c>
      <c r="O1" s="3250" t="s">
        <v>3234</v>
      </c>
      <c r="P1" s="3250" t="s">
        <v>3235</v>
      </c>
      <c r="Q1" s="3250" t="s">
        <v>3236</v>
      </c>
    </row>
    <row r="2" spans="1:17" s="3252" customFormat="1">
      <c r="A2" s="3251" t="s">
        <v>3241</v>
      </c>
      <c r="B2" s="3251" t="s">
        <v>3237</v>
      </c>
      <c r="C2" s="3251" t="s">
        <v>3238</v>
      </c>
      <c r="D2" s="3251">
        <v>1356</v>
      </c>
      <c r="E2" s="3251">
        <v>2034</v>
      </c>
      <c r="F2" s="3251" t="s">
        <v>3242</v>
      </c>
      <c r="G2" s="3251" t="s">
        <v>3239</v>
      </c>
      <c r="H2" s="3251" t="s">
        <v>3243</v>
      </c>
      <c r="I2" s="3251">
        <v>0</v>
      </c>
      <c r="J2" s="3251" t="s">
        <v>3244</v>
      </c>
      <c r="K2" s="3251" t="s">
        <v>3244</v>
      </c>
      <c r="L2" s="3251">
        <v>122.04</v>
      </c>
      <c r="M2" s="3251">
        <v>122.04</v>
      </c>
      <c r="N2" s="3251">
        <v>600</v>
      </c>
      <c r="O2" s="3251">
        <v>0</v>
      </c>
      <c r="P2" s="3251" t="s">
        <v>3245</v>
      </c>
      <c r="Q2" s="3251" t="s">
        <v>3246</v>
      </c>
    </row>
    <row r="3" spans="1:17" s="3254" customFormat="1">
      <c r="A3" s="3253" t="s">
        <v>3251</v>
      </c>
      <c r="B3" s="3253" t="s">
        <v>3237</v>
      </c>
      <c r="C3" s="3253" t="s">
        <v>3238</v>
      </c>
      <c r="D3" s="3253">
        <v>40000</v>
      </c>
      <c r="E3" s="3253">
        <v>48000</v>
      </c>
      <c r="F3" s="3253" t="s">
        <v>3252</v>
      </c>
      <c r="G3" s="3253" t="s">
        <v>3239</v>
      </c>
      <c r="H3" s="3253" t="s">
        <v>3253</v>
      </c>
      <c r="I3" s="3253">
        <v>0</v>
      </c>
      <c r="J3" s="3253" t="s">
        <v>3254</v>
      </c>
      <c r="K3" s="3253" t="s">
        <v>3254</v>
      </c>
      <c r="L3" s="3253" t="s">
        <v>1239</v>
      </c>
      <c r="M3" s="3253">
        <v>9000</v>
      </c>
      <c r="N3" s="3253">
        <v>1875</v>
      </c>
      <c r="O3" s="3253" t="s">
        <v>1239</v>
      </c>
      <c r="P3" s="3253" t="s">
        <v>3255</v>
      </c>
      <c r="Q3" s="3253" t="s">
        <v>3240</v>
      </c>
    </row>
    <row r="4" spans="1:17" s="3252" customFormat="1">
      <c r="A4" s="3251" t="s">
        <v>3256</v>
      </c>
      <c r="B4" s="3251" t="s">
        <v>3237</v>
      </c>
      <c r="C4" s="3251" t="s">
        <v>3238</v>
      </c>
      <c r="D4" s="3251">
        <v>32342.9</v>
      </c>
      <c r="E4" s="3251">
        <v>38811.480000000003</v>
      </c>
      <c r="F4" s="3251" t="s">
        <v>3257</v>
      </c>
      <c r="G4" s="3251" t="s">
        <v>3239</v>
      </c>
      <c r="H4" s="3251" t="s">
        <v>3258</v>
      </c>
      <c r="I4" s="3251">
        <v>0</v>
      </c>
      <c r="J4" s="3251" t="s">
        <v>3259</v>
      </c>
      <c r="K4" s="3251" t="s">
        <v>3259</v>
      </c>
      <c r="L4" s="3251" t="s">
        <v>1239</v>
      </c>
      <c r="M4" s="3251">
        <v>2425.71</v>
      </c>
      <c r="N4" s="3251">
        <v>625</v>
      </c>
      <c r="O4" s="3251" t="s">
        <v>1239</v>
      </c>
      <c r="P4" s="3251" t="s">
        <v>3260</v>
      </c>
      <c r="Q4" s="3251" t="s">
        <v>3246</v>
      </c>
    </row>
    <row r="5" spans="1:17" s="3252" customFormat="1">
      <c r="A5" s="3251" t="s">
        <v>3261</v>
      </c>
      <c r="B5" s="3251" t="s">
        <v>3237</v>
      </c>
      <c r="C5" s="3251" t="s">
        <v>3238</v>
      </c>
      <c r="D5" s="3251">
        <v>6654</v>
      </c>
      <c r="E5" s="3251">
        <v>16635</v>
      </c>
      <c r="F5" s="3251" t="s">
        <v>3262</v>
      </c>
      <c r="G5" s="3251" t="s">
        <v>3239</v>
      </c>
      <c r="H5" s="3251" t="s">
        <v>3263</v>
      </c>
      <c r="I5" s="3251">
        <v>0</v>
      </c>
      <c r="J5" s="3251" t="s">
        <v>3264</v>
      </c>
      <c r="K5" s="3251" t="s">
        <v>3264</v>
      </c>
      <c r="L5" s="3251">
        <v>838.39</v>
      </c>
      <c r="M5" s="3251">
        <v>838.39</v>
      </c>
      <c r="N5" s="3251">
        <v>504</v>
      </c>
      <c r="O5" s="3251">
        <v>0</v>
      </c>
      <c r="P5" s="3251" t="s">
        <v>3265</v>
      </c>
      <c r="Q5" s="3251" t="s">
        <v>3246</v>
      </c>
    </row>
    <row r="6" spans="1:17" s="3254" customFormat="1">
      <c r="A6" s="3253" t="s">
        <v>3251</v>
      </c>
      <c r="B6" s="3253" t="s">
        <v>3237</v>
      </c>
      <c r="C6" s="3253" t="s">
        <v>3238</v>
      </c>
      <c r="D6" s="3253">
        <v>10938</v>
      </c>
      <c r="E6" s="3253">
        <v>32814</v>
      </c>
      <c r="F6" s="3253" t="s">
        <v>3266</v>
      </c>
      <c r="G6" s="3253" t="s">
        <v>3239</v>
      </c>
      <c r="H6" s="3253" t="s">
        <v>3267</v>
      </c>
      <c r="I6" s="3253">
        <v>0</v>
      </c>
      <c r="J6" s="3253" t="s">
        <v>3268</v>
      </c>
      <c r="K6" s="3253" t="s">
        <v>3268</v>
      </c>
      <c r="L6" s="3253">
        <v>3773.61</v>
      </c>
      <c r="M6" s="3253">
        <v>3773.61</v>
      </c>
      <c r="N6" s="3253">
        <v>1150</v>
      </c>
      <c r="O6" s="3253">
        <v>0</v>
      </c>
      <c r="P6" s="3253" t="s">
        <v>3255</v>
      </c>
      <c r="Q6" s="3253" t="s">
        <v>3240</v>
      </c>
    </row>
    <row r="7" spans="1:17">
      <c r="A7" s="3250" t="s">
        <v>3248</v>
      </c>
      <c r="B7" s="3250" t="s">
        <v>3237</v>
      </c>
      <c r="C7" s="3250" t="s">
        <v>3238</v>
      </c>
      <c r="D7" s="3250">
        <v>66032</v>
      </c>
      <c r="E7" s="3250">
        <v>99048</v>
      </c>
      <c r="F7" s="3250" t="s">
        <v>3242</v>
      </c>
      <c r="G7" s="3250" t="s">
        <v>3239</v>
      </c>
      <c r="H7" s="3250" t="s">
        <v>3269</v>
      </c>
      <c r="I7" s="3250">
        <v>0</v>
      </c>
      <c r="J7" s="3250" t="s">
        <v>3268</v>
      </c>
      <c r="K7" s="3250" t="s">
        <v>3268</v>
      </c>
      <c r="L7" s="3250">
        <v>1980.96</v>
      </c>
      <c r="M7" s="3250">
        <v>1980.96</v>
      </c>
      <c r="N7" s="3250">
        <v>200</v>
      </c>
      <c r="O7" s="3250">
        <v>0</v>
      </c>
      <c r="P7" s="3250" t="s">
        <v>3270</v>
      </c>
      <c r="Q7" s="3250" t="s">
        <v>3246</v>
      </c>
    </row>
    <row r="8" spans="1:17">
      <c r="A8" s="3250" t="s">
        <v>3271</v>
      </c>
      <c r="B8" s="3250" t="s">
        <v>3237</v>
      </c>
      <c r="C8" s="3250" t="s">
        <v>3238</v>
      </c>
      <c r="D8" s="3250">
        <v>5223</v>
      </c>
      <c r="E8" s="3250">
        <v>10446</v>
      </c>
      <c r="F8" s="3250" t="s">
        <v>3272</v>
      </c>
      <c r="G8" s="3250" t="s">
        <v>3239</v>
      </c>
      <c r="H8" s="3250" t="s">
        <v>3273</v>
      </c>
      <c r="I8" s="3250">
        <v>0</v>
      </c>
      <c r="J8" s="3250" t="s">
        <v>3274</v>
      </c>
      <c r="K8" s="3250" t="s">
        <v>3274</v>
      </c>
      <c r="L8" s="3250" t="s">
        <v>1239</v>
      </c>
      <c r="M8" s="3250">
        <v>391.73</v>
      </c>
      <c r="N8" s="3250">
        <v>375</v>
      </c>
      <c r="O8" s="3250" t="s">
        <v>1239</v>
      </c>
      <c r="P8" s="3250" t="s">
        <v>3275</v>
      </c>
      <c r="Q8" s="3250" t="s">
        <v>3247</v>
      </c>
    </row>
    <row r="9" spans="1:17">
      <c r="A9" s="3250" t="s">
        <v>3250</v>
      </c>
      <c r="B9" s="3250" t="s">
        <v>3237</v>
      </c>
      <c r="C9" s="3250" t="s">
        <v>3238</v>
      </c>
      <c r="D9" s="3250">
        <v>1309</v>
      </c>
      <c r="E9" s="3250">
        <v>2225.3000000000002</v>
      </c>
      <c r="F9" s="3250" t="s">
        <v>3276</v>
      </c>
      <c r="G9" s="3250" t="s">
        <v>3239</v>
      </c>
      <c r="H9" s="3250" t="s">
        <v>3263</v>
      </c>
      <c r="I9" s="3250">
        <v>0</v>
      </c>
      <c r="J9" s="3250" t="s">
        <v>3277</v>
      </c>
      <c r="K9" s="3250" t="s">
        <v>3277</v>
      </c>
      <c r="L9" s="3250" t="s">
        <v>1239</v>
      </c>
      <c r="M9" s="3250">
        <v>98.18</v>
      </c>
      <c r="N9" s="3250">
        <v>441.19</v>
      </c>
      <c r="O9" s="3250" t="s">
        <v>1239</v>
      </c>
      <c r="P9" s="3250" t="s">
        <v>3278</v>
      </c>
      <c r="Q9" s="3250" t="s">
        <v>3247</v>
      </c>
    </row>
    <row r="10" spans="1:17" s="3254" customFormat="1">
      <c r="A10" s="3253" t="s">
        <v>3251</v>
      </c>
      <c r="B10" s="3253" t="s">
        <v>3237</v>
      </c>
      <c r="C10" s="3253" t="s">
        <v>3238</v>
      </c>
      <c r="D10" s="3253">
        <v>5513</v>
      </c>
      <c r="E10" s="3253">
        <v>19295.5</v>
      </c>
      <c r="F10" s="3253" t="s">
        <v>3279</v>
      </c>
      <c r="G10" s="3253" t="s">
        <v>3239</v>
      </c>
      <c r="H10" s="3253" t="s">
        <v>3253</v>
      </c>
      <c r="I10" s="3253">
        <v>0</v>
      </c>
      <c r="J10" s="3253" t="s">
        <v>3280</v>
      </c>
      <c r="K10" s="3253" t="s">
        <v>3280</v>
      </c>
      <c r="L10" s="3253" t="s">
        <v>1239</v>
      </c>
      <c r="M10" s="3253">
        <v>1903</v>
      </c>
      <c r="N10" s="3253">
        <v>986.24</v>
      </c>
      <c r="O10" s="3253" t="s">
        <v>1239</v>
      </c>
      <c r="P10" s="3253" t="s">
        <v>3281</v>
      </c>
      <c r="Q10" s="3253" t="s">
        <v>3240</v>
      </c>
    </row>
    <row r="11" spans="1:17">
      <c r="A11" s="3250" t="s">
        <v>3249</v>
      </c>
      <c r="B11" s="3250" t="s">
        <v>3237</v>
      </c>
      <c r="C11" s="3250" t="s">
        <v>3238</v>
      </c>
      <c r="D11" s="3250">
        <v>4233</v>
      </c>
      <c r="E11" s="3250">
        <v>1269.9000000000001</v>
      </c>
      <c r="F11" s="3250" t="s">
        <v>3282</v>
      </c>
      <c r="G11" s="3250" t="s">
        <v>3239</v>
      </c>
      <c r="H11" s="3250" t="s">
        <v>3273</v>
      </c>
      <c r="I11" s="3250">
        <v>0</v>
      </c>
      <c r="J11" s="3250" t="s">
        <v>3283</v>
      </c>
      <c r="K11" s="3250" t="s">
        <v>3283</v>
      </c>
      <c r="L11" s="3250" t="s">
        <v>1239</v>
      </c>
      <c r="M11" s="3250">
        <v>342.89</v>
      </c>
      <c r="N11" s="3250">
        <v>2700.21</v>
      </c>
      <c r="O11" s="3250" t="s">
        <v>1239</v>
      </c>
      <c r="P11" s="3250" t="s">
        <v>3284</v>
      </c>
      <c r="Q11" s="3250" t="s">
        <v>3240</v>
      </c>
    </row>
    <row r="15" spans="1:17">
      <c r="L15" s="3343" t="s">
        <v>3697</v>
      </c>
      <c r="M15" s="3343" t="s">
        <v>3698</v>
      </c>
      <c r="N15" s="3343" t="s">
        <v>3700</v>
      </c>
      <c r="O15" s="3343" t="s">
        <v>3701</v>
      </c>
    </row>
    <row r="16" spans="1:17">
      <c r="M16" s="3343" t="s">
        <v>3699</v>
      </c>
      <c r="N16" s="3343" t="s">
        <v>3702</v>
      </c>
      <c r="O16" s="3343" t="s">
        <v>3703</v>
      </c>
    </row>
    <row r="18" spans="12:15">
      <c r="L18" s="3343" t="s">
        <v>3704</v>
      </c>
      <c r="M18" s="3343" t="s">
        <v>3705</v>
      </c>
      <c r="N18">
        <v>200</v>
      </c>
      <c r="O18" s="3343" t="s">
        <v>3701</v>
      </c>
    </row>
    <row r="19" spans="12:15">
      <c r="M19" s="3343" t="s">
        <v>3699</v>
      </c>
      <c r="N19" s="3343" t="s">
        <v>3706</v>
      </c>
      <c r="O19" s="3343" t="s">
        <v>3703</v>
      </c>
    </row>
    <row r="21" spans="12:15">
      <c r="L21" s="3343" t="s">
        <v>3707</v>
      </c>
    </row>
    <row r="22" spans="12:15">
      <c r="L22" s="3343" t="s">
        <v>3708</v>
      </c>
      <c r="M22" s="3343" t="s">
        <v>3699</v>
      </c>
      <c r="N22" s="3343">
        <v>26300</v>
      </c>
      <c r="O22" s="3343" t="s">
        <v>3703</v>
      </c>
    </row>
    <row r="23" spans="12:15">
      <c r="L23" s="3343" t="s">
        <v>3709</v>
      </c>
      <c r="M23" s="3343" t="s">
        <v>3699</v>
      </c>
      <c r="N23" s="3343">
        <v>10000</v>
      </c>
      <c r="O23" s="3343" t="s">
        <v>3703</v>
      </c>
    </row>
    <row r="26" spans="12:15">
      <c r="L26" s="3343" t="s">
        <v>3710</v>
      </c>
      <c r="M26" s="3343" t="s">
        <v>3711</v>
      </c>
      <c r="N26" s="3343" t="s">
        <v>3712</v>
      </c>
      <c r="O26" s="3343" t="s">
        <v>3703</v>
      </c>
    </row>
  </sheetData>
  <phoneticPr fontId="140"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6"/>
  <sheetViews>
    <sheetView topLeftCell="A10" zoomScaleNormal="100" workbookViewId="0">
      <selection activeCell="A28" sqref="A28"/>
    </sheetView>
  </sheetViews>
  <sheetFormatPr defaultColWidth="7.875" defaultRowHeight="12.75"/>
  <cols>
    <col min="1" max="1" width="8" style="3294" bestFit="1" customWidth="1"/>
    <col min="2" max="2" width="10.5" style="3294" customWidth="1"/>
    <col min="3" max="3" width="9.125" style="3340" customWidth="1"/>
    <col min="4" max="4" width="10.875" style="3294" customWidth="1"/>
    <col min="5" max="5" width="9.375" style="3341" customWidth="1"/>
    <col min="6" max="6" width="15.125" style="3294" hidden="1" customWidth="1"/>
    <col min="7" max="7" width="31.5" style="3294" hidden="1" customWidth="1"/>
    <col min="8" max="9" width="11.75" style="3294" customWidth="1"/>
    <col min="10" max="10" width="8.375" style="3294" customWidth="1"/>
    <col min="11" max="11" width="12.5" style="3340" customWidth="1"/>
    <col min="12" max="19" width="9" style="3340" customWidth="1"/>
    <col min="20" max="20" width="20.75" style="3340" customWidth="1"/>
    <col min="21" max="21" width="17.625" style="3340" customWidth="1"/>
    <col min="22" max="22" width="12.5" style="3342" customWidth="1"/>
    <col min="23" max="24" width="17.75" style="3340" customWidth="1"/>
    <col min="25" max="26" width="17.125" style="3340" customWidth="1"/>
    <col min="27" max="27" width="6.375" style="3340" customWidth="1"/>
    <col min="28" max="28" width="12.25" style="3294" customWidth="1"/>
    <col min="29" max="234" width="8" style="3294" bestFit="1" customWidth="1"/>
    <col min="235" max="256" width="7.875" style="3294"/>
    <col min="257" max="257" width="8" style="3294" bestFit="1" customWidth="1"/>
    <col min="258" max="258" width="10.5" style="3294" customWidth="1"/>
    <col min="259" max="259" width="9.125" style="3294" customWidth="1"/>
    <col min="260" max="260" width="10.875" style="3294" customWidth="1"/>
    <col min="261" max="261" width="9.375" style="3294" customWidth="1"/>
    <col min="262" max="263" width="0" style="3294" hidden="1" customWidth="1"/>
    <col min="264" max="265" width="11.75" style="3294" customWidth="1"/>
    <col min="266" max="266" width="8.375" style="3294" customWidth="1"/>
    <col min="267" max="267" width="12.5" style="3294" customWidth="1"/>
    <col min="268" max="275" width="9" style="3294" customWidth="1"/>
    <col min="276" max="276" width="20.75" style="3294" customWidth="1"/>
    <col min="277" max="277" width="17.625" style="3294" customWidth="1"/>
    <col min="278" max="278" width="12.5" style="3294" customWidth="1"/>
    <col min="279" max="280" width="17.75" style="3294" customWidth="1"/>
    <col min="281" max="282" width="17.125" style="3294" customWidth="1"/>
    <col min="283" max="283" width="6.375" style="3294" customWidth="1"/>
    <col min="284" max="284" width="12.25" style="3294" customWidth="1"/>
    <col min="285" max="490" width="8" style="3294" bestFit="1" customWidth="1"/>
    <col min="491" max="512" width="7.875" style="3294"/>
    <col min="513" max="513" width="8" style="3294" bestFit="1" customWidth="1"/>
    <col min="514" max="514" width="10.5" style="3294" customWidth="1"/>
    <col min="515" max="515" width="9.125" style="3294" customWidth="1"/>
    <col min="516" max="516" width="10.875" style="3294" customWidth="1"/>
    <col min="517" max="517" width="9.375" style="3294" customWidth="1"/>
    <col min="518" max="519" width="0" style="3294" hidden="1" customWidth="1"/>
    <col min="520" max="521" width="11.75" style="3294" customWidth="1"/>
    <col min="522" max="522" width="8.375" style="3294" customWidth="1"/>
    <col min="523" max="523" width="12.5" style="3294" customWidth="1"/>
    <col min="524" max="531" width="9" style="3294" customWidth="1"/>
    <col min="532" max="532" width="20.75" style="3294" customWidth="1"/>
    <col min="533" max="533" width="17.625" style="3294" customWidth="1"/>
    <col min="534" max="534" width="12.5" style="3294" customWidth="1"/>
    <col min="535" max="536" width="17.75" style="3294" customWidth="1"/>
    <col min="537" max="538" width="17.125" style="3294" customWidth="1"/>
    <col min="539" max="539" width="6.375" style="3294" customWidth="1"/>
    <col min="540" max="540" width="12.25" style="3294" customWidth="1"/>
    <col min="541" max="746" width="8" style="3294" bestFit="1" customWidth="1"/>
    <col min="747" max="768" width="7.875" style="3294"/>
    <col min="769" max="769" width="8" style="3294" bestFit="1" customWidth="1"/>
    <col min="770" max="770" width="10.5" style="3294" customWidth="1"/>
    <col min="771" max="771" width="9.125" style="3294" customWidth="1"/>
    <col min="772" max="772" width="10.875" style="3294" customWidth="1"/>
    <col min="773" max="773" width="9.375" style="3294" customWidth="1"/>
    <col min="774" max="775" width="0" style="3294" hidden="1" customWidth="1"/>
    <col min="776" max="777" width="11.75" style="3294" customWidth="1"/>
    <col min="778" max="778" width="8.375" style="3294" customWidth="1"/>
    <col min="779" max="779" width="12.5" style="3294" customWidth="1"/>
    <col min="780" max="787" width="9" style="3294" customWidth="1"/>
    <col min="788" max="788" width="20.75" style="3294" customWidth="1"/>
    <col min="789" max="789" width="17.625" style="3294" customWidth="1"/>
    <col min="790" max="790" width="12.5" style="3294" customWidth="1"/>
    <col min="791" max="792" width="17.75" style="3294" customWidth="1"/>
    <col min="793" max="794" width="17.125" style="3294" customWidth="1"/>
    <col min="795" max="795" width="6.375" style="3294" customWidth="1"/>
    <col min="796" max="796" width="12.25" style="3294" customWidth="1"/>
    <col min="797" max="1002" width="8" style="3294" bestFit="1" customWidth="1"/>
    <col min="1003" max="1024" width="7.875" style="3294"/>
    <col min="1025" max="1025" width="8" style="3294" bestFit="1" customWidth="1"/>
    <col min="1026" max="1026" width="10.5" style="3294" customWidth="1"/>
    <col min="1027" max="1027" width="9.125" style="3294" customWidth="1"/>
    <col min="1028" max="1028" width="10.875" style="3294" customWidth="1"/>
    <col min="1029" max="1029" width="9.375" style="3294" customWidth="1"/>
    <col min="1030" max="1031" width="0" style="3294" hidden="1" customWidth="1"/>
    <col min="1032" max="1033" width="11.75" style="3294" customWidth="1"/>
    <col min="1034" max="1034" width="8.375" style="3294" customWidth="1"/>
    <col min="1035" max="1035" width="12.5" style="3294" customWidth="1"/>
    <col min="1036" max="1043" width="9" style="3294" customWidth="1"/>
    <col min="1044" max="1044" width="20.75" style="3294" customWidth="1"/>
    <col min="1045" max="1045" width="17.625" style="3294" customWidth="1"/>
    <col min="1046" max="1046" width="12.5" style="3294" customWidth="1"/>
    <col min="1047" max="1048" width="17.75" style="3294" customWidth="1"/>
    <col min="1049" max="1050" width="17.125" style="3294" customWidth="1"/>
    <col min="1051" max="1051" width="6.375" style="3294" customWidth="1"/>
    <col min="1052" max="1052" width="12.25" style="3294" customWidth="1"/>
    <col min="1053" max="1258" width="8" style="3294" bestFit="1" customWidth="1"/>
    <col min="1259" max="1280" width="7.875" style="3294"/>
    <col min="1281" max="1281" width="8" style="3294" bestFit="1" customWidth="1"/>
    <col min="1282" max="1282" width="10.5" style="3294" customWidth="1"/>
    <col min="1283" max="1283" width="9.125" style="3294" customWidth="1"/>
    <col min="1284" max="1284" width="10.875" style="3294" customWidth="1"/>
    <col min="1285" max="1285" width="9.375" style="3294" customWidth="1"/>
    <col min="1286" max="1287" width="0" style="3294" hidden="1" customWidth="1"/>
    <col min="1288" max="1289" width="11.75" style="3294" customWidth="1"/>
    <col min="1290" max="1290" width="8.375" style="3294" customWidth="1"/>
    <col min="1291" max="1291" width="12.5" style="3294" customWidth="1"/>
    <col min="1292" max="1299" width="9" style="3294" customWidth="1"/>
    <col min="1300" max="1300" width="20.75" style="3294" customWidth="1"/>
    <col min="1301" max="1301" width="17.625" style="3294" customWidth="1"/>
    <col min="1302" max="1302" width="12.5" style="3294" customWidth="1"/>
    <col min="1303" max="1304" width="17.75" style="3294" customWidth="1"/>
    <col min="1305" max="1306" width="17.125" style="3294" customWidth="1"/>
    <col min="1307" max="1307" width="6.375" style="3294" customWidth="1"/>
    <col min="1308" max="1308" width="12.25" style="3294" customWidth="1"/>
    <col min="1309" max="1514" width="8" style="3294" bestFit="1" customWidth="1"/>
    <col min="1515" max="1536" width="7.875" style="3294"/>
    <col min="1537" max="1537" width="8" style="3294" bestFit="1" customWidth="1"/>
    <col min="1538" max="1538" width="10.5" style="3294" customWidth="1"/>
    <col min="1539" max="1539" width="9.125" style="3294" customWidth="1"/>
    <col min="1540" max="1540" width="10.875" style="3294" customWidth="1"/>
    <col min="1541" max="1541" width="9.375" style="3294" customWidth="1"/>
    <col min="1542" max="1543" width="0" style="3294" hidden="1" customWidth="1"/>
    <col min="1544" max="1545" width="11.75" style="3294" customWidth="1"/>
    <col min="1546" max="1546" width="8.375" style="3294" customWidth="1"/>
    <col min="1547" max="1547" width="12.5" style="3294" customWidth="1"/>
    <col min="1548" max="1555" width="9" style="3294" customWidth="1"/>
    <col min="1556" max="1556" width="20.75" style="3294" customWidth="1"/>
    <col min="1557" max="1557" width="17.625" style="3294" customWidth="1"/>
    <col min="1558" max="1558" width="12.5" style="3294" customWidth="1"/>
    <col min="1559" max="1560" width="17.75" style="3294" customWidth="1"/>
    <col min="1561" max="1562" width="17.125" style="3294" customWidth="1"/>
    <col min="1563" max="1563" width="6.375" style="3294" customWidth="1"/>
    <col min="1564" max="1564" width="12.25" style="3294" customWidth="1"/>
    <col min="1565" max="1770" width="8" style="3294" bestFit="1" customWidth="1"/>
    <col min="1771" max="1792" width="7.875" style="3294"/>
    <col min="1793" max="1793" width="8" style="3294" bestFit="1" customWidth="1"/>
    <col min="1794" max="1794" width="10.5" style="3294" customWidth="1"/>
    <col min="1795" max="1795" width="9.125" style="3294" customWidth="1"/>
    <col min="1796" max="1796" width="10.875" style="3294" customWidth="1"/>
    <col min="1797" max="1797" width="9.375" style="3294" customWidth="1"/>
    <col min="1798" max="1799" width="0" style="3294" hidden="1" customWidth="1"/>
    <col min="1800" max="1801" width="11.75" style="3294" customWidth="1"/>
    <col min="1802" max="1802" width="8.375" style="3294" customWidth="1"/>
    <col min="1803" max="1803" width="12.5" style="3294" customWidth="1"/>
    <col min="1804" max="1811" width="9" style="3294" customWidth="1"/>
    <col min="1812" max="1812" width="20.75" style="3294" customWidth="1"/>
    <col min="1813" max="1813" width="17.625" style="3294" customWidth="1"/>
    <col min="1814" max="1814" width="12.5" style="3294" customWidth="1"/>
    <col min="1815" max="1816" width="17.75" style="3294" customWidth="1"/>
    <col min="1817" max="1818" width="17.125" style="3294" customWidth="1"/>
    <col min="1819" max="1819" width="6.375" style="3294" customWidth="1"/>
    <col min="1820" max="1820" width="12.25" style="3294" customWidth="1"/>
    <col min="1821" max="2026" width="8" style="3294" bestFit="1" customWidth="1"/>
    <col min="2027" max="2048" width="7.875" style="3294"/>
    <col min="2049" max="2049" width="8" style="3294" bestFit="1" customWidth="1"/>
    <col min="2050" max="2050" width="10.5" style="3294" customWidth="1"/>
    <col min="2051" max="2051" width="9.125" style="3294" customWidth="1"/>
    <col min="2052" max="2052" width="10.875" style="3294" customWidth="1"/>
    <col min="2053" max="2053" width="9.375" style="3294" customWidth="1"/>
    <col min="2054" max="2055" width="0" style="3294" hidden="1" customWidth="1"/>
    <col min="2056" max="2057" width="11.75" style="3294" customWidth="1"/>
    <col min="2058" max="2058" width="8.375" style="3294" customWidth="1"/>
    <col min="2059" max="2059" width="12.5" style="3294" customWidth="1"/>
    <col min="2060" max="2067" width="9" style="3294" customWidth="1"/>
    <col min="2068" max="2068" width="20.75" style="3294" customWidth="1"/>
    <col min="2069" max="2069" width="17.625" style="3294" customWidth="1"/>
    <col min="2070" max="2070" width="12.5" style="3294" customWidth="1"/>
    <col min="2071" max="2072" width="17.75" style="3294" customWidth="1"/>
    <col min="2073" max="2074" width="17.125" style="3294" customWidth="1"/>
    <col min="2075" max="2075" width="6.375" style="3294" customWidth="1"/>
    <col min="2076" max="2076" width="12.25" style="3294" customWidth="1"/>
    <col min="2077" max="2282" width="8" style="3294" bestFit="1" customWidth="1"/>
    <col min="2283" max="2304" width="7.875" style="3294"/>
    <col min="2305" max="2305" width="8" style="3294" bestFit="1" customWidth="1"/>
    <col min="2306" max="2306" width="10.5" style="3294" customWidth="1"/>
    <col min="2307" max="2307" width="9.125" style="3294" customWidth="1"/>
    <col min="2308" max="2308" width="10.875" style="3294" customWidth="1"/>
    <col min="2309" max="2309" width="9.375" style="3294" customWidth="1"/>
    <col min="2310" max="2311" width="0" style="3294" hidden="1" customWidth="1"/>
    <col min="2312" max="2313" width="11.75" style="3294" customWidth="1"/>
    <col min="2314" max="2314" width="8.375" style="3294" customWidth="1"/>
    <col min="2315" max="2315" width="12.5" style="3294" customWidth="1"/>
    <col min="2316" max="2323" width="9" style="3294" customWidth="1"/>
    <col min="2324" max="2324" width="20.75" style="3294" customWidth="1"/>
    <col min="2325" max="2325" width="17.625" style="3294" customWidth="1"/>
    <col min="2326" max="2326" width="12.5" style="3294" customWidth="1"/>
    <col min="2327" max="2328" width="17.75" style="3294" customWidth="1"/>
    <col min="2329" max="2330" width="17.125" style="3294" customWidth="1"/>
    <col min="2331" max="2331" width="6.375" style="3294" customWidth="1"/>
    <col min="2332" max="2332" width="12.25" style="3294" customWidth="1"/>
    <col min="2333" max="2538" width="8" style="3294" bestFit="1" customWidth="1"/>
    <col min="2539" max="2560" width="7.875" style="3294"/>
    <col min="2561" max="2561" width="8" style="3294" bestFit="1" customWidth="1"/>
    <col min="2562" max="2562" width="10.5" style="3294" customWidth="1"/>
    <col min="2563" max="2563" width="9.125" style="3294" customWidth="1"/>
    <col min="2564" max="2564" width="10.875" style="3294" customWidth="1"/>
    <col min="2565" max="2565" width="9.375" style="3294" customWidth="1"/>
    <col min="2566" max="2567" width="0" style="3294" hidden="1" customWidth="1"/>
    <col min="2568" max="2569" width="11.75" style="3294" customWidth="1"/>
    <col min="2570" max="2570" width="8.375" style="3294" customWidth="1"/>
    <col min="2571" max="2571" width="12.5" style="3294" customWidth="1"/>
    <col min="2572" max="2579" width="9" style="3294" customWidth="1"/>
    <col min="2580" max="2580" width="20.75" style="3294" customWidth="1"/>
    <col min="2581" max="2581" width="17.625" style="3294" customWidth="1"/>
    <col min="2582" max="2582" width="12.5" style="3294" customWidth="1"/>
    <col min="2583" max="2584" width="17.75" style="3294" customWidth="1"/>
    <col min="2585" max="2586" width="17.125" style="3294" customWidth="1"/>
    <col min="2587" max="2587" width="6.375" style="3294" customWidth="1"/>
    <col min="2588" max="2588" width="12.25" style="3294" customWidth="1"/>
    <col min="2589" max="2794" width="8" style="3294" bestFit="1" customWidth="1"/>
    <col min="2795" max="2816" width="7.875" style="3294"/>
    <col min="2817" max="2817" width="8" style="3294" bestFit="1" customWidth="1"/>
    <col min="2818" max="2818" width="10.5" style="3294" customWidth="1"/>
    <col min="2819" max="2819" width="9.125" style="3294" customWidth="1"/>
    <col min="2820" max="2820" width="10.875" style="3294" customWidth="1"/>
    <col min="2821" max="2821" width="9.375" style="3294" customWidth="1"/>
    <col min="2822" max="2823" width="0" style="3294" hidden="1" customWidth="1"/>
    <col min="2824" max="2825" width="11.75" style="3294" customWidth="1"/>
    <col min="2826" max="2826" width="8.375" style="3294" customWidth="1"/>
    <col min="2827" max="2827" width="12.5" style="3294" customWidth="1"/>
    <col min="2828" max="2835" width="9" style="3294" customWidth="1"/>
    <col min="2836" max="2836" width="20.75" style="3294" customWidth="1"/>
    <col min="2837" max="2837" width="17.625" style="3294" customWidth="1"/>
    <col min="2838" max="2838" width="12.5" style="3294" customWidth="1"/>
    <col min="2839" max="2840" width="17.75" style="3294" customWidth="1"/>
    <col min="2841" max="2842" width="17.125" style="3294" customWidth="1"/>
    <col min="2843" max="2843" width="6.375" style="3294" customWidth="1"/>
    <col min="2844" max="2844" width="12.25" style="3294" customWidth="1"/>
    <col min="2845" max="3050" width="8" style="3294" bestFit="1" customWidth="1"/>
    <col min="3051" max="3072" width="7.875" style="3294"/>
    <col min="3073" max="3073" width="8" style="3294" bestFit="1" customWidth="1"/>
    <col min="3074" max="3074" width="10.5" style="3294" customWidth="1"/>
    <col min="3075" max="3075" width="9.125" style="3294" customWidth="1"/>
    <col min="3076" max="3076" width="10.875" style="3294" customWidth="1"/>
    <col min="3077" max="3077" width="9.375" style="3294" customWidth="1"/>
    <col min="3078" max="3079" width="0" style="3294" hidden="1" customWidth="1"/>
    <col min="3080" max="3081" width="11.75" style="3294" customWidth="1"/>
    <col min="3082" max="3082" width="8.375" style="3294" customWidth="1"/>
    <col min="3083" max="3083" width="12.5" style="3294" customWidth="1"/>
    <col min="3084" max="3091" width="9" style="3294" customWidth="1"/>
    <col min="3092" max="3092" width="20.75" style="3294" customWidth="1"/>
    <col min="3093" max="3093" width="17.625" style="3294" customWidth="1"/>
    <col min="3094" max="3094" width="12.5" style="3294" customWidth="1"/>
    <col min="3095" max="3096" width="17.75" style="3294" customWidth="1"/>
    <col min="3097" max="3098" width="17.125" style="3294" customWidth="1"/>
    <col min="3099" max="3099" width="6.375" style="3294" customWidth="1"/>
    <col min="3100" max="3100" width="12.25" style="3294" customWidth="1"/>
    <col min="3101" max="3306" width="8" style="3294" bestFit="1" customWidth="1"/>
    <col min="3307" max="3328" width="7.875" style="3294"/>
    <col min="3329" max="3329" width="8" style="3294" bestFit="1" customWidth="1"/>
    <col min="3330" max="3330" width="10.5" style="3294" customWidth="1"/>
    <col min="3331" max="3331" width="9.125" style="3294" customWidth="1"/>
    <col min="3332" max="3332" width="10.875" style="3294" customWidth="1"/>
    <col min="3333" max="3333" width="9.375" style="3294" customWidth="1"/>
    <col min="3334" max="3335" width="0" style="3294" hidden="1" customWidth="1"/>
    <col min="3336" max="3337" width="11.75" style="3294" customWidth="1"/>
    <col min="3338" max="3338" width="8.375" style="3294" customWidth="1"/>
    <col min="3339" max="3339" width="12.5" style="3294" customWidth="1"/>
    <col min="3340" max="3347" width="9" style="3294" customWidth="1"/>
    <col min="3348" max="3348" width="20.75" style="3294" customWidth="1"/>
    <col min="3349" max="3349" width="17.625" style="3294" customWidth="1"/>
    <col min="3350" max="3350" width="12.5" style="3294" customWidth="1"/>
    <col min="3351" max="3352" width="17.75" style="3294" customWidth="1"/>
    <col min="3353" max="3354" width="17.125" style="3294" customWidth="1"/>
    <col min="3355" max="3355" width="6.375" style="3294" customWidth="1"/>
    <col min="3356" max="3356" width="12.25" style="3294" customWidth="1"/>
    <col min="3357" max="3562" width="8" style="3294" bestFit="1" customWidth="1"/>
    <col min="3563" max="3584" width="7.875" style="3294"/>
    <col min="3585" max="3585" width="8" style="3294" bestFit="1" customWidth="1"/>
    <col min="3586" max="3586" width="10.5" style="3294" customWidth="1"/>
    <col min="3587" max="3587" width="9.125" style="3294" customWidth="1"/>
    <col min="3588" max="3588" width="10.875" style="3294" customWidth="1"/>
    <col min="3589" max="3589" width="9.375" style="3294" customWidth="1"/>
    <col min="3590" max="3591" width="0" style="3294" hidden="1" customWidth="1"/>
    <col min="3592" max="3593" width="11.75" style="3294" customWidth="1"/>
    <col min="3594" max="3594" width="8.375" style="3294" customWidth="1"/>
    <col min="3595" max="3595" width="12.5" style="3294" customWidth="1"/>
    <col min="3596" max="3603" width="9" style="3294" customWidth="1"/>
    <col min="3604" max="3604" width="20.75" style="3294" customWidth="1"/>
    <col min="3605" max="3605" width="17.625" style="3294" customWidth="1"/>
    <col min="3606" max="3606" width="12.5" style="3294" customWidth="1"/>
    <col min="3607" max="3608" width="17.75" style="3294" customWidth="1"/>
    <col min="3609" max="3610" width="17.125" style="3294" customWidth="1"/>
    <col min="3611" max="3611" width="6.375" style="3294" customWidth="1"/>
    <col min="3612" max="3612" width="12.25" style="3294" customWidth="1"/>
    <col min="3613" max="3818" width="8" style="3294" bestFit="1" customWidth="1"/>
    <col min="3819" max="3840" width="7.875" style="3294"/>
    <col min="3841" max="3841" width="8" style="3294" bestFit="1" customWidth="1"/>
    <col min="3842" max="3842" width="10.5" style="3294" customWidth="1"/>
    <col min="3843" max="3843" width="9.125" style="3294" customWidth="1"/>
    <col min="3844" max="3844" width="10.875" style="3294" customWidth="1"/>
    <col min="3845" max="3845" width="9.375" style="3294" customWidth="1"/>
    <col min="3846" max="3847" width="0" style="3294" hidden="1" customWidth="1"/>
    <col min="3848" max="3849" width="11.75" style="3294" customWidth="1"/>
    <col min="3850" max="3850" width="8.375" style="3294" customWidth="1"/>
    <col min="3851" max="3851" width="12.5" style="3294" customWidth="1"/>
    <col min="3852" max="3859" width="9" style="3294" customWidth="1"/>
    <col min="3860" max="3860" width="20.75" style="3294" customWidth="1"/>
    <col min="3861" max="3861" width="17.625" style="3294" customWidth="1"/>
    <col min="3862" max="3862" width="12.5" style="3294" customWidth="1"/>
    <col min="3863" max="3864" width="17.75" style="3294" customWidth="1"/>
    <col min="3865" max="3866" width="17.125" style="3294" customWidth="1"/>
    <col min="3867" max="3867" width="6.375" style="3294" customWidth="1"/>
    <col min="3868" max="3868" width="12.25" style="3294" customWidth="1"/>
    <col min="3869" max="4074" width="8" style="3294" bestFit="1" customWidth="1"/>
    <col min="4075" max="4096" width="7.875" style="3294"/>
    <col min="4097" max="4097" width="8" style="3294" bestFit="1" customWidth="1"/>
    <col min="4098" max="4098" width="10.5" style="3294" customWidth="1"/>
    <col min="4099" max="4099" width="9.125" style="3294" customWidth="1"/>
    <col min="4100" max="4100" width="10.875" style="3294" customWidth="1"/>
    <col min="4101" max="4101" width="9.375" style="3294" customWidth="1"/>
    <col min="4102" max="4103" width="0" style="3294" hidden="1" customWidth="1"/>
    <col min="4104" max="4105" width="11.75" style="3294" customWidth="1"/>
    <col min="4106" max="4106" width="8.375" style="3294" customWidth="1"/>
    <col min="4107" max="4107" width="12.5" style="3294" customWidth="1"/>
    <col min="4108" max="4115" width="9" style="3294" customWidth="1"/>
    <col min="4116" max="4116" width="20.75" style="3294" customWidth="1"/>
    <col min="4117" max="4117" width="17.625" style="3294" customWidth="1"/>
    <col min="4118" max="4118" width="12.5" style="3294" customWidth="1"/>
    <col min="4119" max="4120" width="17.75" style="3294" customWidth="1"/>
    <col min="4121" max="4122" width="17.125" style="3294" customWidth="1"/>
    <col min="4123" max="4123" width="6.375" style="3294" customWidth="1"/>
    <col min="4124" max="4124" width="12.25" style="3294" customWidth="1"/>
    <col min="4125" max="4330" width="8" style="3294" bestFit="1" customWidth="1"/>
    <col min="4331" max="4352" width="7.875" style="3294"/>
    <col min="4353" max="4353" width="8" style="3294" bestFit="1" customWidth="1"/>
    <col min="4354" max="4354" width="10.5" style="3294" customWidth="1"/>
    <col min="4355" max="4355" width="9.125" style="3294" customWidth="1"/>
    <col min="4356" max="4356" width="10.875" style="3294" customWidth="1"/>
    <col min="4357" max="4357" width="9.375" style="3294" customWidth="1"/>
    <col min="4358" max="4359" width="0" style="3294" hidden="1" customWidth="1"/>
    <col min="4360" max="4361" width="11.75" style="3294" customWidth="1"/>
    <col min="4362" max="4362" width="8.375" style="3294" customWidth="1"/>
    <col min="4363" max="4363" width="12.5" style="3294" customWidth="1"/>
    <col min="4364" max="4371" width="9" style="3294" customWidth="1"/>
    <col min="4372" max="4372" width="20.75" style="3294" customWidth="1"/>
    <col min="4373" max="4373" width="17.625" style="3294" customWidth="1"/>
    <col min="4374" max="4374" width="12.5" style="3294" customWidth="1"/>
    <col min="4375" max="4376" width="17.75" style="3294" customWidth="1"/>
    <col min="4377" max="4378" width="17.125" style="3294" customWidth="1"/>
    <col min="4379" max="4379" width="6.375" style="3294" customWidth="1"/>
    <col min="4380" max="4380" width="12.25" style="3294" customWidth="1"/>
    <col min="4381" max="4586" width="8" style="3294" bestFit="1" customWidth="1"/>
    <col min="4587" max="4608" width="7.875" style="3294"/>
    <col min="4609" max="4609" width="8" style="3294" bestFit="1" customWidth="1"/>
    <col min="4610" max="4610" width="10.5" style="3294" customWidth="1"/>
    <col min="4611" max="4611" width="9.125" style="3294" customWidth="1"/>
    <col min="4612" max="4612" width="10.875" style="3294" customWidth="1"/>
    <col min="4613" max="4613" width="9.375" style="3294" customWidth="1"/>
    <col min="4614" max="4615" width="0" style="3294" hidden="1" customWidth="1"/>
    <col min="4616" max="4617" width="11.75" style="3294" customWidth="1"/>
    <col min="4618" max="4618" width="8.375" style="3294" customWidth="1"/>
    <col min="4619" max="4619" width="12.5" style="3294" customWidth="1"/>
    <col min="4620" max="4627" width="9" style="3294" customWidth="1"/>
    <col min="4628" max="4628" width="20.75" style="3294" customWidth="1"/>
    <col min="4629" max="4629" width="17.625" style="3294" customWidth="1"/>
    <col min="4630" max="4630" width="12.5" style="3294" customWidth="1"/>
    <col min="4631" max="4632" width="17.75" style="3294" customWidth="1"/>
    <col min="4633" max="4634" width="17.125" style="3294" customWidth="1"/>
    <col min="4635" max="4635" width="6.375" style="3294" customWidth="1"/>
    <col min="4636" max="4636" width="12.25" style="3294" customWidth="1"/>
    <col min="4637" max="4842" width="8" style="3294" bestFit="1" customWidth="1"/>
    <col min="4843" max="4864" width="7.875" style="3294"/>
    <col min="4865" max="4865" width="8" style="3294" bestFit="1" customWidth="1"/>
    <col min="4866" max="4866" width="10.5" style="3294" customWidth="1"/>
    <col min="4867" max="4867" width="9.125" style="3294" customWidth="1"/>
    <col min="4868" max="4868" width="10.875" style="3294" customWidth="1"/>
    <col min="4869" max="4869" width="9.375" style="3294" customWidth="1"/>
    <col min="4870" max="4871" width="0" style="3294" hidden="1" customWidth="1"/>
    <col min="4872" max="4873" width="11.75" style="3294" customWidth="1"/>
    <col min="4874" max="4874" width="8.375" style="3294" customWidth="1"/>
    <col min="4875" max="4875" width="12.5" style="3294" customWidth="1"/>
    <col min="4876" max="4883" width="9" style="3294" customWidth="1"/>
    <col min="4884" max="4884" width="20.75" style="3294" customWidth="1"/>
    <col min="4885" max="4885" width="17.625" style="3294" customWidth="1"/>
    <col min="4886" max="4886" width="12.5" style="3294" customWidth="1"/>
    <col min="4887" max="4888" width="17.75" style="3294" customWidth="1"/>
    <col min="4889" max="4890" width="17.125" style="3294" customWidth="1"/>
    <col min="4891" max="4891" width="6.375" style="3294" customWidth="1"/>
    <col min="4892" max="4892" width="12.25" style="3294" customWidth="1"/>
    <col min="4893" max="5098" width="8" style="3294" bestFit="1" customWidth="1"/>
    <col min="5099" max="5120" width="7.875" style="3294"/>
    <col min="5121" max="5121" width="8" style="3294" bestFit="1" customWidth="1"/>
    <col min="5122" max="5122" width="10.5" style="3294" customWidth="1"/>
    <col min="5123" max="5123" width="9.125" style="3294" customWidth="1"/>
    <col min="5124" max="5124" width="10.875" style="3294" customWidth="1"/>
    <col min="5125" max="5125" width="9.375" style="3294" customWidth="1"/>
    <col min="5126" max="5127" width="0" style="3294" hidden="1" customWidth="1"/>
    <col min="5128" max="5129" width="11.75" style="3294" customWidth="1"/>
    <col min="5130" max="5130" width="8.375" style="3294" customWidth="1"/>
    <col min="5131" max="5131" width="12.5" style="3294" customWidth="1"/>
    <col min="5132" max="5139" width="9" style="3294" customWidth="1"/>
    <col min="5140" max="5140" width="20.75" style="3294" customWidth="1"/>
    <col min="5141" max="5141" width="17.625" style="3294" customWidth="1"/>
    <col min="5142" max="5142" width="12.5" style="3294" customWidth="1"/>
    <col min="5143" max="5144" width="17.75" style="3294" customWidth="1"/>
    <col min="5145" max="5146" width="17.125" style="3294" customWidth="1"/>
    <col min="5147" max="5147" width="6.375" style="3294" customWidth="1"/>
    <col min="5148" max="5148" width="12.25" style="3294" customWidth="1"/>
    <col min="5149" max="5354" width="8" style="3294" bestFit="1" customWidth="1"/>
    <col min="5355" max="5376" width="7.875" style="3294"/>
    <col min="5377" max="5377" width="8" style="3294" bestFit="1" customWidth="1"/>
    <col min="5378" max="5378" width="10.5" style="3294" customWidth="1"/>
    <col min="5379" max="5379" width="9.125" style="3294" customWidth="1"/>
    <col min="5380" max="5380" width="10.875" style="3294" customWidth="1"/>
    <col min="5381" max="5381" width="9.375" style="3294" customWidth="1"/>
    <col min="5382" max="5383" width="0" style="3294" hidden="1" customWidth="1"/>
    <col min="5384" max="5385" width="11.75" style="3294" customWidth="1"/>
    <col min="5386" max="5386" width="8.375" style="3294" customWidth="1"/>
    <col min="5387" max="5387" width="12.5" style="3294" customWidth="1"/>
    <col min="5388" max="5395" width="9" style="3294" customWidth="1"/>
    <col min="5396" max="5396" width="20.75" style="3294" customWidth="1"/>
    <col min="5397" max="5397" width="17.625" style="3294" customWidth="1"/>
    <col min="5398" max="5398" width="12.5" style="3294" customWidth="1"/>
    <col min="5399" max="5400" width="17.75" style="3294" customWidth="1"/>
    <col min="5401" max="5402" width="17.125" style="3294" customWidth="1"/>
    <col min="5403" max="5403" width="6.375" style="3294" customWidth="1"/>
    <col min="5404" max="5404" width="12.25" style="3294" customWidth="1"/>
    <col min="5405" max="5610" width="8" style="3294" bestFit="1" customWidth="1"/>
    <col min="5611" max="5632" width="7.875" style="3294"/>
    <col min="5633" max="5633" width="8" style="3294" bestFit="1" customWidth="1"/>
    <col min="5634" max="5634" width="10.5" style="3294" customWidth="1"/>
    <col min="5635" max="5635" width="9.125" style="3294" customWidth="1"/>
    <col min="5636" max="5636" width="10.875" style="3294" customWidth="1"/>
    <col min="5637" max="5637" width="9.375" style="3294" customWidth="1"/>
    <col min="5638" max="5639" width="0" style="3294" hidden="1" customWidth="1"/>
    <col min="5640" max="5641" width="11.75" style="3294" customWidth="1"/>
    <col min="5642" max="5642" width="8.375" style="3294" customWidth="1"/>
    <col min="5643" max="5643" width="12.5" style="3294" customWidth="1"/>
    <col min="5644" max="5651" width="9" style="3294" customWidth="1"/>
    <col min="5652" max="5652" width="20.75" style="3294" customWidth="1"/>
    <col min="5653" max="5653" width="17.625" style="3294" customWidth="1"/>
    <col min="5654" max="5654" width="12.5" style="3294" customWidth="1"/>
    <col min="5655" max="5656" width="17.75" style="3294" customWidth="1"/>
    <col min="5657" max="5658" width="17.125" style="3294" customWidth="1"/>
    <col min="5659" max="5659" width="6.375" style="3294" customWidth="1"/>
    <col min="5660" max="5660" width="12.25" style="3294" customWidth="1"/>
    <col min="5661" max="5866" width="8" style="3294" bestFit="1" customWidth="1"/>
    <col min="5867" max="5888" width="7.875" style="3294"/>
    <col min="5889" max="5889" width="8" style="3294" bestFit="1" customWidth="1"/>
    <col min="5890" max="5890" width="10.5" style="3294" customWidth="1"/>
    <col min="5891" max="5891" width="9.125" style="3294" customWidth="1"/>
    <col min="5892" max="5892" width="10.875" style="3294" customWidth="1"/>
    <col min="5893" max="5893" width="9.375" style="3294" customWidth="1"/>
    <col min="5894" max="5895" width="0" style="3294" hidden="1" customWidth="1"/>
    <col min="5896" max="5897" width="11.75" style="3294" customWidth="1"/>
    <col min="5898" max="5898" width="8.375" style="3294" customWidth="1"/>
    <col min="5899" max="5899" width="12.5" style="3294" customWidth="1"/>
    <col min="5900" max="5907" width="9" style="3294" customWidth="1"/>
    <col min="5908" max="5908" width="20.75" style="3294" customWidth="1"/>
    <col min="5909" max="5909" width="17.625" style="3294" customWidth="1"/>
    <col min="5910" max="5910" width="12.5" style="3294" customWidth="1"/>
    <col min="5911" max="5912" width="17.75" style="3294" customWidth="1"/>
    <col min="5913" max="5914" width="17.125" style="3294" customWidth="1"/>
    <col min="5915" max="5915" width="6.375" style="3294" customWidth="1"/>
    <col min="5916" max="5916" width="12.25" style="3294" customWidth="1"/>
    <col min="5917" max="6122" width="8" style="3294" bestFit="1" customWidth="1"/>
    <col min="6123" max="6144" width="7.875" style="3294"/>
    <col min="6145" max="6145" width="8" style="3294" bestFit="1" customWidth="1"/>
    <col min="6146" max="6146" width="10.5" style="3294" customWidth="1"/>
    <col min="6147" max="6147" width="9.125" style="3294" customWidth="1"/>
    <col min="6148" max="6148" width="10.875" style="3294" customWidth="1"/>
    <col min="6149" max="6149" width="9.375" style="3294" customWidth="1"/>
    <col min="6150" max="6151" width="0" style="3294" hidden="1" customWidth="1"/>
    <col min="6152" max="6153" width="11.75" style="3294" customWidth="1"/>
    <col min="6154" max="6154" width="8.375" style="3294" customWidth="1"/>
    <col min="6155" max="6155" width="12.5" style="3294" customWidth="1"/>
    <col min="6156" max="6163" width="9" style="3294" customWidth="1"/>
    <col min="6164" max="6164" width="20.75" style="3294" customWidth="1"/>
    <col min="6165" max="6165" width="17.625" style="3294" customWidth="1"/>
    <col min="6166" max="6166" width="12.5" style="3294" customWidth="1"/>
    <col min="6167" max="6168" width="17.75" style="3294" customWidth="1"/>
    <col min="6169" max="6170" width="17.125" style="3294" customWidth="1"/>
    <col min="6171" max="6171" width="6.375" style="3294" customWidth="1"/>
    <col min="6172" max="6172" width="12.25" style="3294" customWidth="1"/>
    <col min="6173" max="6378" width="8" style="3294" bestFit="1" customWidth="1"/>
    <col min="6379" max="6400" width="7.875" style="3294"/>
    <col min="6401" max="6401" width="8" style="3294" bestFit="1" customWidth="1"/>
    <col min="6402" max="6402" width="10.5" style="3294" customWidth="1"/>
    <col min="6403" max="6403" width="9.125" style="3294" customWidth="1"/>
    <col min="6404" max="6404" width="10.875" style="3294" customWidth="1"/>
    <col min="6405" max="6405" width="9.375" style="3294" customWidth="1"/>
    <col min="6406" max="6407" width="0" style="3294" hidden="1" customWidth="1"/>
    <col min="6408" max="6409" width="11.75" style="3294" customWidth="1"/>
    <col min="6410" max="6410" width="8.375" style="3294" customWidth="1"/>
    <col min="6411" max="6411" width="12.5" style="3294" customWidth="1"/>
    <col min="6412" max="6419" width="9" style="3294" customWidth="1"/>
    <col min="6420" max="6420" width="20.75" style="3294" customWidth="1"/>
    <col min="6421" max="6421" width="17.625" style="3294" customWidth="1"/>
    <col min="6422" max="6422" width="12.5" style="3294" customWidth="1"/>
    <col min="6423" max="6424" width="17.75" style="3294" customWidth="1"/>
    <col min="6425" max="6426" width="17.125" style="3294" customWidth="1"/>
    <col min="6427" max="6427" width="6.375" style="3294" customWidth="1"/>
    <col min="6428" max="6428" width="12.25" style="3294" customWidth="1"/>
    <col min="6429" max="6634" width="8" style="3294" bestFit="1" customWidth="1"/>
    <col min="6635" max="6656" width="7.875" style="3294"/>
    <col min="6657" max="6657" width="8" style="3294" bestFit="1" customWidth="1"/>
    <col min="6658" max="6658" width="10.5" style="3294" customWidth="1"/>
    <col min="6659" max="6659" width="9.125" style="3294" customWidth="1"/>
    <col min="6660" max="6660" width="10.875" style="3294" customWidth="1"/>
    <col min="6661" max="6661" width="9.375" style="3294" customWidth="1"/>
    <col min="6662" max="6663" width="0" style="3294" hidden="1" customWidth="1"/>
    <col min="6664" max="6665" width="11.75" style="3294" customWidth="1"/>
    <col min="6666" max="6666" width="8.375" style="3294" customWidth="1"/>
    <col min="6667" max="6667" width="12.5" style="3294" customWidth="1"/>
    <col min="6668" max="6675" width="9" style="3294" customWidth="1"/>
    <col min="6676" max="6676" width="20.75" style="3294" customWidth="1"/>
    <col min="6677" max="6677" width="17.625" style="3294" customWidth="1"/>
    <col min="6678" max="6678" width="12.5" style="3294" customWidth="1"/>
    <col min="6679" max="6680" width="17.75" style="3294" customWidth="1"/>
    <col min="6681" max="6682" width="17.125" style="3294" customWidth="1"/>
    <col min="6683" max="6683" width="6.375" style="3294" customWidth="1"/>
    <col min="6684" max="6684" width="12.25" style="3294" customWidth="1"/>
    <col min="6685" max="6890" width="8" style="3294" bestFit="1" customWidth="1"/>
    <col min="6891" max="6912" width="7.875" style="3294"/>
    <col min="6913" max="6913" width="8" style="3294" bestFit="1" customWidth="1"/>
    <col min="6914" max="6914" width="10.5" style="3294" customWidth="1"/>
    <col min="6915" max="6915" width="9.125" style="3294" customWidth="1"/>
    <col min="6916" max="6916" width="10.875" style="3294" customWidth="1"/>
    <col min="6917" max="6917" width="9.375" style="3294" customWidth="1"/>
    <col min="6918" max="6919" width="0" style="3294" hidden="1" customWidth="1"/>
    <col min="6920" max="6921" width="11.75" style="3294" customWidth="1"/>
    <col min="6922" max="6922" width="8.375" style="3294" customWidth="1"/>
    <col min="6923" max="6923" width="12.5" style="3294" customWidth="1"/>
    <col min="6924" max="6931" width="9" style="3294" customWidth="1"/>
    <col min="6932" max="6932" width="20.75" style="3294" customWidth="1"/>
    <col min="6933" max="6933" width="17.625" style="3294" customWidth="1"/>
    <col min="6934" max="6934" width="12.5" style="3294" customWidth="1"/>
    <col min="6935" max="6936" width="17.75" style="3294" customWidth="1"/>
    <col min="6937" max="6938" width="17.125" style="3294" customWidth="1"/>
    <col min="6939" max="6939" width="6.375" style="3294" customWidth="1"/>
    <col min="6940" max="6940" width="12.25" style="3294" customWidth="1"/>
    <col min="6941" max="7146" width="8" style="3294" bestFit="1" customWidth="1"/>
    <col min="7147" max="7168" width="7.875" style="3294"/>
    <col min="7169" max="7169" width="8" style="3294" bestFit="1" customWidth="1"/>
    <col min="7170" max="7170" width="10.5" style="3294" customWidth="1"/>
    <col min="7171" max="7171" width="9.125" style="3294" customWidth="1"/>
    <col min="7172" max="7172" width="10.875" style="3294" customWidth="1"/>
    <col min="7173" max="7173" width="9.375" style="3294" customWidth="1"/>
    <col min="7174" max="7175" width="0" style="3294" hidden="1" customWidth="1"/>
    <col min="7176" max="7177" width="11.75" style="3294" customWidth="1"/>
    <col min="7178" max="7178" width="8.375" style="3294" customWidth="1"/>
    <col min="7179" max="7179" width="12.5" style="3294" customWidth="1"/>
    <col min="7180" max="7187" width="9" style="3294" customWidth="1"/>
    <col min="7188" max="7188" width="20.75" style="3294" customWidth="1"/>
    <col min="7189" max="7189" width="17.625" style="3294" customWidth="1"/>
    <col min="7190" max="7190" width="12.5" style="3294" customWidth="1"/>
    <col min="7191" max="7192" width="17.75" style="3294" customWidth="1"/>
    <col min="7193" max="7194" width="17.125" style="3294" customWidth="1"/>
    <col min="7195" max="7195" width="6.375" style="3294" customWidth="1"/>
    <col min="7196" max="7196" width="12.25" style="3294" customWidth="1"/>
    <col min="7197" max="7402" width="8" style="3294" bestFit="1" customWidth="1"/>
    <col min="7403" max="7424" width="7.875" style="3294"/>
    <col min="7425" max="7425" width="8" style="3294" bestFit="1" customWidth="1"/>
    <col min="7426" max="7426" width="10.5" style="3294" customWidth="1"/>
    <col min="7427" max="7427" width="9.125" style="3294" customWidth="1"/>
    <col min="7428" max="7428" width="10.875" style="3294" customWidth="1"/>
    <col min="7429" max="7429" width="9.375" style="3294" customWidth="1"/>
    <col min="7430" max="7431" width="0" style="3294" hidden="1" customWidth="1"/>
    <col min="7432" max="7433" width="11.75" style="3294" customWidth="1"/>
    <col min="7434" max="7434" width="8.375" style="3294" customWidth="1"/>
    <col min="7435" max="7435" width="12.5" style="3294" customWidth="1"/>
    <col min="7436" max="7443" width="9" style="3294" customWidth="1"/>
    <col min="7444" max="7444" width="20.75" style="3294" customWidth="1"/>
    <col min="7445" max="7445" width="17.625" style="3294" customWidth="1"/>
    <col min="7446" max="7446" width="12.5" style="3294" customWidth="1"/>
    <col min="7447" max="7448" width="17.75" style="3294" customWidth="1"/>
    <col min="7449" max="7450" width="17.125" style="3294" customWidth="1"/>
    <col min="7451" max="7451" width="6.375" style="3294" customWidth="1"/>
    <col min="7452" max="7452" width="12.25" style="3294" customWidth="1"/>
    <col min="7453" max="7658" width="8" style="3294" bestFit="1" customWidth="1"/>
    <col min="7659" max="7680" width="7.875" style="3294"/>
    <col min="7681" max="7681" width="8" style="3294" bestFit="1" customWidth="1"/>
    <col min="7682" max="7682" width="10.5" style="3294" customWidth="1"/>
    <col min="7683" max="7683" width="9.125" style="3294" customWidth="1"/>
    <col min="7684" max="7684" width="10.875" style="3294" customWidth="1"/>
    <col min="7685" max="7685" width="9.375" style="3294" customWidth="1"/>
    <col min="7686" max="7687" width="0" style="3294" hidden="1" customWidth="1"/>
    <col min="7688" max="7689" width="11.75" style="3294" customWidth="1"/>
    <col min="7690" max="7690" width="8.375" style="3294" customWidth="1"/>
    <col min="7691" max="7691" width="12.5" style="3294" customWidth="1"/>
    <col min="7692" max="7699" width="9" style="3294" customWidth="1"/>
    <col min="7700" max="7700" width="20.75" style="3294" customWidth="1"/>
    <col min="7701" max="7701" width="17.625" style="3294" customWidth="1"/>
    <col min="7702" max="7702" width="12.5" style="3294" customWidth="1"/>
    <col min="7703" max="7704" width="17.75" style="3294" customWidth="1"/>
    <col min="7705" max="7706" width="17.125" style="3294" customWidth="1"/>
    <col min="7707" max="7707" width="6.375" style="3294" customWidth="1"/>
    <col min="7708" max="7708" width="12.25" style="3294" customWidth="1"/>
    <col min="7709" max="7914" width="8" style="3294" bestFit="1" customWidth="1"/>
    <col min="7915" max="7936" width="7.875" style="3294"/>
    <col min="7937" max="7937" width="8" style="3294" bestFit="1" customWidth="1"/>
    <col min="7938" max="7938" width="10.5" style="3294" customWidth="1"/>
    <col min="7939" max="7939" width="9.125" style="3294" customWidth="1"/>
    <col min="7940" max="7940" width="10.875" style="3294" customWidth="1"/>
    <col min="7941" max="7941" width="9.375" style="3294" customWidth="1"/>
    <col min="7942" max="7943" width="0" style="3294" hidden="1" customWidth="1"/>
    <col min="7944" max="7945" width="11.75" style="3294" customWidth="1"/>
    <col min="7946" max="7946" width="8.375" style="3294" customWidth="1"/>
    <col min="7947" max="7947" width="12.5" style="3294" customWidth="1"/>
    <col min="7948" max="7955" width="9" style="3294" customWidth="1"/>
    <col min="7956" max="7956" width="20.75" style="3294" customWidth="1"/>
    <col min="7957" max="7957" width="17.625" style="3294" customWidth="1"/>
    <col min="7958" max="7958" width="12.5" style="3294" customWidth="1"/>
    <col min="7959" max="7960" width="17.75" style="3294" customWidth="1"/>
    <col min="7961" max="7962" width="17.125" style="3294" customWidth="1"/>
    <col min="7963" max="7963" width="6.375" style="3294" customWidth="1"/>
    <col min="7964" max="7964" width="12.25" style="3294" customWidth="1"/>
    <col min="7965" max="8170" width="8" style="3294" bestFit="1" customWidth="1"/>
    <col min="8171" max="8192" width="7.875" style="3294"/>
    <col min="8193" max="8193" width="8" style="3294" bestFit="1" customWidth="1"/>
    <col min="8194" max="8194" width="10.5" style="3294" customWidth="1"/>
    <col min="8195" max="8195" width="9.125" style="3294" customWidth="1"/>
    <col min="8196" max="8196" width="10.875" style="3294" customWidth="1"/>
    <col min="8197" max="8197" width="9.375" style="3294" customWidth="1"/>
    <col min="8198" max="8199" width="0" style="3294" hidden="1" customWidth="1"/>
    <col min="8200" max="8201" width="11.75" style="3294" customWidth="1"/>
    <col min="8202" max="8202" width="8.375" style="3294" customWidth="1"/>
    <col min="8203" max="8203" width="12.5" style="3294" customWidth="1"/>
    <col min="8204" max="8211" width="9" style="3294" customWidth="1"/>
    <col min="8212" max="8212" width="20.75" style="3294" customWidth="1"/>
    <col min="8213" max="8213" width="17.625" style="3294" customWidth="1"/>
    <col min="8214" max="8214" width="12.5" style="3294" customWidth="1"/>
    <col min="8215" max="8216" width="17.75" style="3294" customWidth="1"/>
    <col min="8217" max="8218" width="17.125" style="3294" customWidth="1"/>
    <col min="8219" max="8219" width="6.375" style="3294" customWidth="1"/>
    <col min="8220" max="8220" width="12.25" style="3294" customWidth="1"/>
    <col min="8221" max="8426" width="8" style="3294" bestFit="1" customWidth="1"/>
    <col min="8427" max="8448" width="7.875" style="3294"/>
    <col min="8449" max="8449" width="8" style="3294" bestFit="1" customWidth="1"/>
    <col min="8450" max="8450" width="10.5" style="3294" customWidth="1"/>
    <col min="8451" max="8451" width="9.125" style="3294" customWidth="1"/>
    <col min="8452" max="8452" width="10.875" style="3294" customWidth="1"/>
    <col min="8453" max="8453" width="9.375" style="3294" customWidth="1"/>
    <col min="8454" max="8455" width="0" style="3294" hidden="1" customWidth="1"/>
    <col min="8456" max="8457" width="11.75" style="3294" customWidth="1"/>
    <col min="8458" max="8458" width="8.375" style="3294" customWidth="1"/>
    <col min="8459" max="8459" width="12.5" style="3294" customWidth="1"/>
    <col min="8460" max="8467" width="9" style="3294" customWidth="1"/>
    <col min="8468" max="8468" width="20.75" style="3294" customWidth="1"/>
    <col min="8469" max="8469" width="17.625" style="3294" customWidth="1"/>
    <col min="8470" max="8470" width="12.5" style="3294" customWidth="1"/>
    <col min="8471" max="8472" width="17.75" style="3294" customWidth="1"/>
    <col min="8473" max="8474" width="17.125" style="3294" customWidth="1"/>
    <col min="8475" max="8475" width="6.375" style="3294" customWidth="1"/>
    <col min="8476" max="8476" width="12.25" style="3294" customWidth="1"/>
    <col min="8477" max="8682" width="8" style="3294" bestFit="1" customWidth="1"/>
    <col min="8683" max="8704" width="7.875" style="3294"/>
    <col min="8705" max="8705" width="8" style="3294" bestFit="1" customWidth="1"/>
    <col min="8706" max="8706" width="10.5" style="3294" customWidth="1"/>
    <col min="8707" max="8707" width="9.125" style="3294" customWidth="1"/>
    <col min="8708" max="8708" width="10.875" style="3294" customWidth="1"/>
    <col min="8709" max="8709" width="9.375" style="3294" customWidth="1"/>
    <col min="8710" max="8711" width="0" style="3294" hidden="1" customWidth="1"/>
    <col min="8712" max="8713" width="11.75" style="3294" customWidth="1"/>
    <col min="8714" max="8714" width="8.375" style="3294" customWidth="1"/>
    <col min="8715" max="8715" width="12.5" style="3294" customWidth="1"/>
    <col min="8716" max="8723" width="9" style="3294" customWidth="1"/>
    <col min="8724" max="8724" width="20.75" style="3294" customWidth="1"/>
    <col min="8725" max="8725" width="17.625" style="3294" customWidth="1"/>
    <col min="8726" max="8726" width="12.5" style="3294" customWidth="1"/>
    <col min="8727" max="8728" width="17.75" style="3294" customWidth="1"/>
    <col min="8729" max="8730" width="17.125" style="3294" customWidth="1"/>
    <col min="8731" max="8731" width="6.375" style="3294" customWidth="1"/>
    <col min="8732" max="8732" width="12.25" style="3294" customWidth="1"/>
    <col min="8733" max="8938" width="8" style="3294" bestFit="1" customWidth="1"/>
    <col min="8939" max="8960" width="7.875" style="3294"/>
    <col min="8961" max="8961" width="8" style="3294" bestFit="1" customWidth="1"/>
    <col min="8962" max="8962" width="10.5" style="3294" customWidth="1"/>
    <col min="8963" max="8963" width="9.125" style="3294" customWidth="1"/>
    <col min="8964" max="8964" width="10.875" style="3294" customWidth="1"/>
    <col min="8965" max="8965" width="9.375" style="3294" customWidth="1"/>
    <col min="8966" max="8967" width="0" style="3294" hidden="1" customWidth="1"/>
    <col min="8968" max="8969" width="11.75" style="3294" customWidth="1"/>
    <col min="8970" max="8970" width="8.375" style="3294" customWidth="1"/>
    <col min="8971" max="8971" width="12.5" style="3294" customWidth="1"/>
    <col min="8972" max="8979" width="9" style="3294" customWidth="1"/>
    <col min="8980" max="8980" width="20.75" style="3294" customWidth="1"/>
    <col min="8981" max="8981" width="17.625" style="3294" customWidth="1"/>
    <col min="8982" max="8982" width="12.5" style="3294" customWidth="1"/>
    <col min="8983" max="8984" width="17.75" style="3294" customWidth="1"/>
    <col min="8985" max="8986" width="17.125" style="3294" customWidth="1"/>
    <col min="8987" max="8987" width="6.375" style="3294" customWidth="1"/>
    <col min="8988" max="8988" width="12.25" style="3294" customWidth="1"/>
    <col min="8989" max="9194" width="8" style="3294" bestFit="1" customWidth="1"/>
    <col min="9195" max="9216" width="7.875" style="3294"/>
    <col min="9217" max="9217" width="8" style="3294" bestFit="1" customWidth="1"/>
    <col min="9218" max="9218" width="10.5" style="3294" customWidth="1"/>
    <col min="9219" max="9219" width="9.125" style="3294" customWidth="1"/>
    <col min="9220" max="9220" width="10.875" style="3294" customWidth="1"/>
    <col min="9221" max="9221" width="9.375" style="3294" customWidth="1"/>
    <col min="9222" max="9223" width="0" style="3294" hidden="1" customWidth="1"/>
    <col min="9224" max="9225" width="11.75" style="3294" customWidth="1"/>
    <col min="9226" max="9226" width="8.375" style="3294" customWidth="1"/>
    <col min="9227" max="9227" width="12.5" style="3294" customWidth="1"/>
    <col min="9228" max="9235" width="9" style="3294" customWidth="1"/>
    <col min="9236" max="9236" width="20.75" style="3294" customWidth="1"/>
    <col min="9237" max="9237" width="17.625" style="3294" customWidth="1"/>
    <col min="9238" max="9238" width="12.5" style="3294" customWidth="1"/>
    <col min="9239" max="9240" width="17.75" style="3294" customWidth="1"/>
    <col min="9241" max="9242" width="17.125" style="3294" customWidth="1"/>
    <col min="9243" max="9243" width="6.375" style="3294" customWidth="1"/>
    <col min="9244" max="9244" width="12.25" style="3294" customWidth="1"/>
    <col min="9245" max="9450" width="8" style="3294" bestFit="1" customWidth="1"/>
    <col min="9451" max="9472" width="7.875" style="3294"/>
    <col min="9473" max="9473" width="8" style="3294" bestFit="1" customWidth="1"/>
    <col min="9474" max="9474" width="10.5" style="3294" customWidth="1"/>
    <col min="9475" max="9475" width="9.125" style="3294" customWidth="1"/>
    <col min="9476" max="9476" width="10.875" style="3294" customWidth="1"/>
    <col min="9477" max="9477" width="9.375" style="3294" customWidth="1"/>
    <col min="9478" max="9479" width="0" style="3294" hidden="1" customWidth="1"/>
    <col min="9480" max="9481" width="11.75" style="3294" customWidth="1"/>
    <col min="9482" max="9482" width="8.375" style="3294" customWidth="1"/>
    <col min="9483" max="9483" width="12.5" style="3294" customWidth="1"/>
    <col min="9484" max="9491" width="9" style="3294" customWidth="1"/>
    <col min="9492" max="9492" width="20.75" style="3294" customWidth="1"/>
    <col min="9493" max="9493" width="17.625" style="3294" customWidth="1"/>
    <col min="9494" max="9494" width="12.5" style="3294" customWidth="1"/>
    <col min="9495" max="9496" width="17.75" style="3294" customWidth="1"/>
    <col min="9497" max="9498" width="17.125" style="3294" customWidth="1"/>
    <col min="9499" max="9499" width="6.375" style="3294" customWidth="1"/>
    <col min="9500" max="9500" width="12.25" style="3294" customWidth="1"/>
    <col min="9501" max="9706" width="8" style="3294" bestFit="1" customWidth="1"/>
    <col min="9707" max="9728" width="7.875" style="3294"/>
    <col min="9729" max="9729" width="8" style="3294" bestFit="1" customWidth="1"/>
    <col min="9730" max="9730" width="10.5" style="3294" customWidth="1"/>
    <col min="9731" max="9731" width="9.125" style="3294" customWidth="1"/>
    <col min="9732" max="9732" width="10.875" style="3294" customWidth="1"/>
    <col min="9733" max="9733" width="9.375" style="3294" customWidth="1"/>
    <col min="9734" max="9735" width="0" style="3294" hidden="1" customWidth="1"/>
    <col min="9736" max="9737" width="11.75" style="3294" customWidth="1"/>
    <col min="9738" max="9738" width="8.375" style="3294" customWidth="1"/>
    <col min="9739" max="9739" width="12.5" style="3294" customWidth="1"/>
    <col min="9740" max="9747" width="9" style="3294" customWidth="1"/>
    <col min="9748" max="9748" width="20.75" style="3294" customWidth="1"/>
    <col min="9749" max="9749" width="17.625" style="3294" customWidth="1"/>
    <col min="9750" max="9750" width="12.5" style="3294" customWidth="1"/>
    <col min="9751" max="9752" width="17.75" style="3294" customWidth="1"/>
    <col min="9753" max="9754" width="17.125" style="3294" customWidth="1"/>
    <col min="9755" max="9755" width="6.375" style="3294" customWidth="1"/>
    <col min="9756" max="9756" width="12.25" style="3294" customWidth="1"/>
    <col min="9757" max="9962" width="8" style="3294" bestFit="1" customWidth="1"/>
    <col min="9963" max="9984" width="7.875" style="3294"/>
    <col min="9985" max="9985" width="8" style="3294" bestFit="1" customWidth="1"/>
    <col min="9986" max="9986" width="10.5" style="3294" customWidth="1"/>
    <col min="9987" max="9987" width="9.125" style="3294" customWidth="1"/>
    <col min="9988" max="9988" width="10.875" style="3294" customWidth="1"/>
    <col min="9989" max="9989" width="9.375" style="3294" customWidth="1"/>
    <col min="9990" max="9991" width="0" style="3294" hidden="1" customWidth="1"/>
    <col min="9992" max="9993" width="11.75" style="3294" customWidth="1"/>
    <col min="9994" max="9994" width="8.375" style="3294" customWidth="1"/>
    <col min="9995" max="9995" width="12.5" style="3294" customWidth="1"/>
    <col min="9996" max="10003" width="9" style="3294" customWidth="1"/>
    <col min="10004" max="10004" width="20.75" style="3294" customWidth="1"/>
    <col min="10005" max="10005" width="17.625" style="3294" customWidth="1"/>
    <col min="10006" max="10006" width="12.5" style="3294" customWidth="1"/>
    <col min="10007" max="10008" width="17.75" style="3294" customWidth="1"/>
    <col min="10009" max="10010" width="17.125" style="3294" customWidth="1"/>
    <col min="10011" max="10011" width="6.375" style="3294" customWidth="1"/>
    <col min="10012" max="10012" width="12.25" style="3294" customWidth="1"/>
    <col min="10013" max="10218" width="8" style="3294" bestFit="1" customWidth="1"/>
    <col min="10219" max="10240" width="7.875" style="3294"/>
    <col min="10241" max="10241" width="8" style="3294" bestFit="1" customWidth="1"/>
    <col min="10242" max="10242" width="10.5" style="3294" customWidth="1"/>
    <col min="10243" max="10243" width="9.125" style="3294" customWidth="1"/>
    <col min="10244" max="10244" width="10.875" style="3294" customWidth="1"/>
    <col min="10245" max="10245" width="9.375" style="3294" customWidth="1"/>
    <col min="10246" max="10247" width="0" style="3294" hidden="1" customWidth="1"/>
    <col min="10248" max="10249" width="11.75" style="3294" customWidth="1"/>
    <col min="10250" max="10250" width="8.375" style="3294" customWidth="1"/>
    <col min="10251" max="10251" width="12.5" style="3294" customWidth="1"/>
    <col min="10252" max="10259" width="9" style="3294" customWidth="1"/>
    <col min="10260" max="10260" width="20.75" style="3294" customWidth="1"/>
    <col min="10261" max="10261" width="17.625" style="3294" customWidth="1"/>
    <col min="10262" max="10262" width="12.5" style="3294" customWidth="1"/>
    <col min="10263" max="10264" width="17.75" style="3294" customWidth="1"/>
    <col min="10265" max="10266" width="17.125" style="3294" customWidth="1"/>
    <col min="10267" max="10267" width="6.375" style="3294" customWidth="1"/>
    <col min="10268" max="10268" width="12.25" style="3294" customWidth="1"/>
    <col min="10269" max="10474" width="8" style="3294" bestFit="1" customWidth="1"/>
    <col min="10475" max="10496" width="7.875" style="3294"/>
    <col min="10497" max="10497" width="8" style="3294" bestFit="1" customWidth="1"/>
    <col min="10498" max="10498" width="10.5" style="3294" customWidth="1"/>
    <col min="10499" max="10499" width="9.125" style="3294" customWidth="1"/>
    <col min="10500" max="10500" width="10.875" style="3294" customWidth="1"/>
    <col min="10501" max="10501" width="9.375" style="3294" customWidth="1"/>
    <col min="10502" max="10503" width="0" style="3294" hidden="1" customWidth="1"/>
    <col min="10504" max="10505" width="11.75" style="3294" customWidth="1"/>
    <col min="10506" max="10506" width="8.375" style="3294" customWidth="1"/>
    <col min="10507" max="10507" width="12.5" style="3294" customWidth="1"/>
    <col min="10508" max="10515" width="9" style="3294" customWidth="1"/>
    <col min="10516" max="10516" width="20.75" style="3294" customWidth="1"/>
    <col min="10517" max="10517" width="17.625" style="3294" customWidth="1"/>
    <col min="10518" max="10518" width="12.5" style="3294" customWidth="1"/>
    <col min="10519" max="10520" width="17.75" style="3294" customWidth="1"/>
    <col min="10521" max="10522" width="17.125" style="3294" customWidth="1"/>
    <col min="10523" max="10523" width="6.375" style="3294" customWidth="1"/>
    <col min="10524" max="10524" width="12.25" style="3294" customWidth="1"/>
    <col min="10525" max="10730" width="8" style="3294" bestFit="1" customWidth="1"/>
    <col min="10731" max="10752" width="7.875" style="3294"/>
    <col min="10753" max="10753" width="8" style="3294" bestFit="1" customWidth="1"/>
    <col min="10754" max="10754" width="10.5" style="3294" customWidth="1"/>
    <col min="10755" max="10755" width="9.125" style="3294" customWidth="1"/>
    <col min="10756" max="10756" width="10.875" style="3294" customWidth="1"/>
    <col min="10757" max="10757" width="9.375" style="3294" customWidth="1"/>
    <col min="10758" max="10759" width="0" style="3294" hidden="1" customWidth="1"/>
    <col min="10760" max="10761" width="11.75" style="3294" customWidth="1"/>
    <col min="10762" max="10762" width="8.375" style="3294" customWidth="1"/>
    <col min="10763" max="10763" width="12.5" style="3294" customWidth="1"/>
    <col min="10764" max="10771" width="9" style="3294" customWidth="1"/>
    <col min="10772" max="10772" width="20.75" style="3294" customWidth="1"/>
    <col min="10773" max="10773" width="17.625" style="3294" customWidth="1"/>
    <col min="10774" max="10774" width="12.5" style="3294" customWidth="1"/>
    <col min="10775" max="10776" width="17.75" style="3294" customWidth="1"/>
    <col min="10777" max="10778" width="17.125" style="3294" customWidth="1"/>
    <col min="10779" max="10779" width="6.375" style="3294" customWidth="1"/>
    <col min="10780" max="10780" width="12.25" style="3294" customWidth="1"/>
    <col min="10781" max="10986" width="8" style="3294" bestFit="1" customWidth="1"/>
    <col min="10987" max="11008" width="7.875" style="3294"/>
    <col min="11009" max="11009" width="8" style="3294" bestFit="1" customWidth="1"/>
    <col min="11010" max="11010" width="10.5" style="3294" customWidth="1"/>
    <col min="11011" max="11011" width="9.125" style="3294" customWidth="1"/>
    <col min="11012" max="11012" width="10.875" style="3294" customWidth="1"/>
    <col min="11013" max="11013" width="9.375" style="3294" customWidth="1"/>
    <col min="11014" max="11015" width="0" style="3294" hidden="1" customWidth="1"/>
    <col min="11016" max="11017" width="11.75" style="3294" customWidth="1"/>
    <col min="11018" max="11018" width="8.375" style="3294" customWidth="1"/>
    <col min="11019" max="11019" width="12.5" style="3294" customWidth="1"/>
    <col min="11020" max="11027" width="9" style="3294" customWidth="1"/>
    <col min="11028" max="11028" width="20.75" style="3294" customWidth="1"/>
    <col min="11029" max="11029" width="17.625" style="3294" customWidth="1"/>
    <col min="11030" max="11030" width="12.5" style="3294" customWidth="1"/>
    <col min="11031" max="11032" width="17.75" style="3294" customWidth="1"/>
    <col min="11033" max="11034" width="17.125" style="3294" customWidth="1"/>
    <col min="11035" max="11035" width="6.375" style="3294" customWidth="1"/>
    <col min="11036" max="11036" width="12.25" style="3294" customWidth="1"/>
    <col min="11037" max="11242" width="8" style="3294" bestFit="1" customWidth="1"/>
    <col min="11243" max="11264" width="7.875" style="3294"/>
    <col min="11265" max="11265" width="8" style="3294" bestFit="1" customWidth="1"/>
    <col min="11266" max="11266" width="10.5" style="3294" customWidth="1"/>
    <col min="11267" max="11267" width="9.125" style="3294" customWidth="1"/>
    <col min="11268" max="11268" width="10.875" style="3294" customWidth="1"/>
    <col min="11269" max="11269" width="9.375" style="3294" customWidth="1"/>
    <col min="11270" max="11271" width="0" style="3294" hidden="1" customWidth="1"/>
    <col min="11272" max="11273" width="11.75" style="3294" customWidth="1"/>
    <col min="11274" max="11274" width="8.375" style="3294" customWidth="1"/>
    <col min="11275" max="11275" width="12.5" style="3294" customWidth="1"/>
    <col min="11276" max="11283" width="9" style="3294" customWidth="1"/>
    <col min="11284" max="11284" width="20.75" style="3294" customWidth="1"/>
    <col min="11285" max="11285" width="17.625" style="3294" customWidth="1"/>
    <col min="11286" max="11286" width="12.5" style="3294" customWidth="1"/>
    <col min="11287" max="11288" width="17.75" style="3294" customWidth="1"/>
    <col min="11289" max="11290" width="17.125" style="3294" customWidth="1"/>
    <col min="11291" max="11291" width="6.375" style="3294" customWidth="1"/>
    <col min="11292" max="11292" width="12.25" style="3294" customWidth="1"/>
    <col min="11293" max="11498" width="8" style="3294" bestFit="1" customWidth="1"/>
    <col min="11499" max="11520" width="7.875" style="3294"/>
    <col min="11521" max="11521" width="8" style="3294" bestFit="1" customWidth="1"/>
    <col min="11522" max="11522" width="10.5" style="3294" customWidth="1"/>
    <col min="11523" max="11523" width="9.125" style="3294" customWidth="1"/>
    <col min="11524" max="11524" width="10.875" style="3294" customWidth="1"/>
    <col min="11525" max="11525" width="9.375" style="3294" customWidth="1"/>
    <col min="11526" max="11527" width="0" style="3294" hidden="1" customWidth="1"/>
    <col min="11528" max="11529" width="11.75" style="3294" customWidth="1"/>
    <col min="11530" max="11530" width="8.375" style="3294" customWidth="1"/>
    <col min="11531" max="11531" width="12.5" style="3294" customWidth="1"/>
    <col min="11532" max="11539" width="9" style="3294" customWidth="1"/>
    <col min="11540" max="11540" width="20.75" style="3294" customWidth="1"/>
    <col min="11541" max="11541" width="17.625" style="3294" customWidth="1"/>
    <col min="11542" max="11542" width="12.5" style="3294" customWidth="1"/>
    <col min="11543" max="11544" width="17.75" style="3294" customWidth="1"/>
    <col min="11545" max="11546" width="17.125" style="3294" customWidth="1"/>
    <col min="11547" max="11547" width="6.375" style="3294" customWidth="1"/>
    <col min="11548" max="11548" width="12.25" style="3294" customWidth="1"/>
    <col min="11549" max="11754" width="8" style="3294" bestFit="1" customWidth="1"/>
    <col min="11755" max="11776" width="7.875" style="3294"/>
    <col min="11777" max="11777" width="8" style="3294" bestFit="1" customWidth="1"/>
    <col min="11778" max="11778" width="10.5" style="3294" customWidth="1"/>
    <col min="11779" max="11779" width="9.125" style="3294" customWidth="1"/>
    <col min="11780" max="11780" width="10.875" style="3294" customWidth="1"/>
    <col min="11781" max="11781" width="9.375" style="3294" customWidth="1"/>
    <col min="11782" max="11783" width="0" style="3294" hidden="1" customWidth="1"/>
    <col min="11784" max="11785" width="11.75" style="3294" customWidth="1"/>
    <col min="11786" max="11786" width="8.375" style="3294" customWidth="1"/>
    <col min="11787" max="11787" width="12.5" style="3294" customWidth="1"/>
    <col min="11788" max="11795" width="9" style="3294" customWidth="1"/>
    <col min="11796" max="11796" width="20.75" style="3294" customWidth="1"/>
    <col min="11797" max="11797" width="17.625" style="3294" customWidth="1"/>
    <col min="11798" max="11798" width="12.5" style="3294" customWidth="1"/>
    <col min="11799" max="11800" width="17.75" style="3294" customWidth="1"/>
    <col min="11801" max="11802" width="17.125" style="3294" customWidth="1"/>
    <col min="11803" max="11803" width="6.375" style="3294" customWidth="1"/>
    <col min="11804" max="11804" width="12.25" style="3294" customWidth="1"/>
    <col min="11805" max="12010" width="8" style="3294" bestFit="1" customWidth="1"/>
    <col min="12011" max="12032" width="7.875" style="3294"/>
    <col min="12033" max="12033" width="8" style="3294" bestFit="1" customWidth="1"/>
    <col min="12034" max="12034" width="10.5" style="3294" customWidth="1"/>
    <col min="12035" max="12035" width="9.125" style="3294" customWidth="1"/>
    <col min="12036" max="12036" width="10.875" style="3294" customWidth="1"/>
    <col min="12037" max="12037" width="9.375" style="3294" customWidth="1"/>
    <col min="12038" max="12039" width="0" style="3294" hidden="1" customWidth="1"/>
    <col min="12040" max="12041" width="11.75" style="3294" customWidth="1"/>
    <col min="12042" max="12042" width="8.375" style="3294" customWidth="1"/>
    <col min="12043" max="12043" width="12.5" style="3294" customWidth="1"/>
    <col min="12044" max="12051" width="9" style="3294" customWidth="1"/>
    <col min="12052" max="12052" width="20.75" style="3294" customWidth="1"/>
    <col min="12053" max="12053" width="17.625" style="3294" customWidth="1"/>
    <col min="12054" max="12054" width="12.5" style="3294" customWidth="1"/>
    <col min="12055" max="12056" width="17.75" style="3294" customWidth="1"/>
    <col min="12057" max="12058" width="17.125" style="3294" customWidth="1"/>
    <col min="12059" max="12059" width="6.375" style="3294" customWidth="1"/>
    <col min="12060" max="12060" width="12.25" style="3294" customWidth="1"/>
    <col min="12061" max="12266" width="8" style="3294" bestFit="1" customWidth="1"/>
    <col min="12267" max="12288" width="7.875" style="3294"/>
    <col min="12289" max="12289" width="8" style="3294" bestFit="1" customWidth="1"/>
    <col min="12290" max="12290" width="10.5" style="3294" customWidth="1"/>
    <col min="12291" max="12291" width="9.125" style="3294" customWidth="1"/>
    <col min="12292" max="12292" width="10.875" style="3294" customWidth="1"/>
    <col min="12293" max="12293" width="9.375" style="3294" customWidth="1"/>
    <col min="12294" max="12295" width="0" style="3294" hidden="1" customWidth="1"/>
    <col min="12296" max="12297" width="11.75" style="3294" customWidth="1"/>
    <col min="12298" max="12298" width="8.375" style="3294" customWidth="1"/>
    <col min="12299" max="12299" width="12.5" style="3294" customWidth="1"/>
    <col min="12300" max="12307" width="9" style="3294" customWidth="1"/>
    <col min="12308" max="12308" width="20.75" style="3294" customWidth="1"/>
    <col min="12309" max="12309" width="17.625" style="3294" customWidth="1"/>
    <col min="12310" max="12310" width="12.5" style="3294" customWidth="1"/>
    <col min="12311" max="12312" width="17.75" style="3294" customWidth="1"/>
    <col min="12313" max="12314" width="17.125" style="3294" customWidth="1"/>
    <col min="12315" max="12315" width="6.375" style="3294" customWidth="1"/>
    <col min="12316" max="12316" width="12.25" style="3294" customWidth="1"/>
    <col min="12317" max="12522" width="8" style="3294" bestFit="1" customWidth="1"/>
    <col min="12523" max="12544" width="7.875" style="3294"/>
    <col min="12545" max="12545" width="8" style="3294" bestFit="1" customWidth="1"/>
    <col min="12546" max="12546" width="10.5" style="3294" customWidth="1"/>
    <col min="12547" max="12547" width="9.125" style="3294" customWidth="1"/>
    <col min="12548" max="12548" width="10.875" style="3294" customWidth="1"/>
    <col min="12549" max="12549" width="9.375" style="3294" customWidth="1"/>
    <col min="12550" max="12551" width="0" style="3294" hidden="1" customWidth="1"/>
    <col min="12552" max="12553" width="11.75" style="3294" customWidth="1"/>
    <col min="12554" max="12554" width="8.375" style="3294" customWidth="1"/>
    <col min="12555" max="12555" width="12.5" style="3294" customWidth="1"/>
    <col min="12556" max="12563" width="9" style="3294" customWidth="1"/>
    <col min="12564" max="12564" width="20.75" style="3294" customWidth="1"/>
    <col min="12565" max="12565" width="17.625" style="3294" customWidth="1"/>
    <col min="12566" max="12566" width="12.5" style="3294" customWidth="1"/>
    <col min="12567" max="12568" width="17.75" style="3294" customWidth="1"/>
    <col min="12569" max="12570" width="17.125" style="3294" customWidth="1"/>
    <col min="12571" max="12571" width="6.375" style="3294" customWidth="1"/>
    <col min="12572" max="12572" width="12.25" style="3294" customWidth="1"/>
    <col min="12573" max="12778" width="8" style="3294" bestFit="1" customWidth="1"/>
    <col min="12779" max="12800" width="7.875" style="3294"/>
    <col min="12801" max="12801" width="8" style="3294" bestFit="1" customWidth="1"/>
    <col min="12802" max="12802" width="10.5" style="3294" customWidth="1"/>
    <col min="12803" max="12803" width="9.125" style="3294" customWidth="1"/>
    <col min="12804" max="12804" width="10.875" style="3294" customWidth="1"/>
    <col min="12805" max="12805" width="9.375" style="3294" customWidth="1"/>
    <col min="12806" max="12807" width="0" style="3294" hidden="1" customWidth="1"/>
    <col min="12808" max="12809" width="11.75" style="3294" customWidth="1"/>
    <col min="12810" max="12810" width="8.375" style="3294" customWidth="1"/>
    <col min="12811" max="12811" width="12.5" style="3294" customWidth="1"/>
    <col min="12812" max="12819" width="9" style="3294" customWidth="1"/>
    <col min="12820" max="12820" width="20.75" style="3294" customWidth="1"/>
    <col min="12821" max="12821" width="17.625" style="3294" customWidth="1"/>
    <col min="12822" max="12822" width="12.5" style="3294" customWidth="1"/>
    <col min="12823" max="12824" width="17.75" style="3294" customWidth="1"/>
    <col min="12825" max="12826" width="17.125" style="3294" customWidth="1"/>
    <col min="12827" max="12827" width="6.375" style="3294" customWidth="1"/>
    <col min="12828" max="12828" width="12.25" style="3294" customWidth="1"/>
    <col min="12829" max="13034" width="8" style="3294" bestFit="1" customWidth="1"/>
    <col min="13035" max="13056" width="7.875" style="3294"/>
    <col min="13057" max="13057" width="8" style="3294" bestFit="1" customWidth="1"/>
    <col min="13058" max="13058" width="10.5" style="3294" customWidth="1"/>
    <col min="13059" max="13059" width="9.125" style="3294" customWidth="1"/>
    <col min="13060" max="13060" width="10.875" style="3294" customWidth="1"/>
    <col min="13061" max="13061" width="9.375" style="3294" customWidth="1"/>
    <col min="13062" max="13063" width="0" style="3294" hidden="1" customWidth="1"/>
    <col min="13064" max="13065" width="11.75" style="3294" customWidth="1"/>
    <col min="13066" max="13066" width="8.375" style="3294" customWidth="1"/>
    <col min="13067" max="13067" width="12.5" style="3294" customWidth="1"/>
    <col min="13068" max="13075" width="9" style="3294" customWidth="1"/>
    <col min="13076" max="13076" width="20.75" style="3294" customWidth="1"/>
    <col min="13077" max="13077" width="17.625" style="3294" customWidth="1"/>
    <col min="13078" max="13078" width="12.5" style="3294" customWidth="1"/>
    <col min="13079" max="13080" width="17.75" style="3294" customWidth="1"/>
    <col min="13081" max="13082" width="17.125" style="3294" customWidth="1"/>
    <col min="13083" max="13083" width="6.375" style="3294" customWidth="1"/>
    <col min="13084" max="13084" width="12.25" style="3294" customWidth="1"/>
    <col min="13085" max="13290" width="8" style="3294" bestFit="1" customWidth="1"/>
    <col min="13291" max="13312" width="7.875" style="3294"/>
    <col min="13313" max="13313" width="8" style="3294" bestFit="1" customWidth="1"/>
    <col min="13314" max="13314" width="10.5" style="3294" customWidth="1"/>
    <col min="13315" max="13315" width="9.125" style="3294" customWidth="1"/>
    <col min="13316" max="13316" width="10.875" style="3294" customWidth="1"/>
    <col min="13317" max="13317" width="9.375" style="3294" customWidth="1"/>
    <col min="13318" max="13319" width="0" style="3294" hidden="1" customWidth="1"/>
    <col min="13320" max="13321" width="11.75" style="3294" customWidth="1"/>
    <col min="13322" max="13322" width="8.375" style="3294" customWidth="1"/>
    <col min="13323" max="13323" width="12.5" style="3294" customWidth="1"/>
    <col min="13324" max="13331" width="9" style="3294" customWidth="1"/>
    <col min="13332" max="13332" width="20.75" style="3294" customWidth="1"/>
    <col min="13333" max="13333" width="17.625" style="3294" customWidth="1"/>
    <col min="13334" max="13334" width="12.5" style="3294" customWidth="1"/>
    <col min="13335" max="13336" width="17.75" style="3294" customWidth="1"/>
    <col min="13337" max="13338" width="17.125" style="3294" customWidth="1"/>
    <col min="13339" max="13339" width="6.375" style="3294" customWidth="1"/>
    <col min="13340" max="13340" width="12.25" style="3294" customWidth="1"/>
    <col min="13341" max="13546" width="8" style="3294" bestFit="1" customWidth="1"/>
    <col min="13547" max="13568" width="7.875" style="3294"/>
    <col min="13569" max="13569" width="8" style="3294" bestFit="1" customWidth="1"/>
    <col min="13570" max="13570" width="10.5" style="3294" customWidth="1"/>
    <col min="13571" max="13571" width="9.125" style="3294" customWidth="1"/>
    <col min="13572" max="13572" width="10.875" style="3294" customWidth="1"/>
    <col min="13573" max="13573" width="9.375" style="3294" customWidth="1"/>
    <col min="13574" max="13575" width="0" style="3294" hidden="1" customWidth="1"/>
    <col min="13576" max="13577" width="11.75" style="3294" customWidth="1"/>
    <col min="13578" max="13578" width="8.375" style="3294" customWidth="1"/>
    <col min="13579" max="13579" width="12.5" style="3294" customWidth="1"/>
    <col min="13580" max="13587" width="9" style="3294" customWidth="1"/>
    <col min="13588" max="13588" width="20.75" style="3294" customWidth="1"/>
    <col min="13589" max="13589" width="17.625" style="3294" customWidth="1"/>
    <col min="13590" max="13590" width="12.5" style="3294" customWidth="1"/>
    <col min="13591" max="13592" width="17.75" style="3294" customWidth="1"/>
    <col min="13593" max="13594" width="17.125" style="3294" customWidth="1"/>
    <col min="13595" max="13595" width="6.375" style="3294" customWidth="1"/>
    <col min="13596" max="13596" width="12.25" style="3294" customWidth="1"/>
    <col min="13597" max="13802" width="8" style="3294" bestFit="1" customWidth="1"/>
    <col min="13803" max="13824" width="7.875" style="3294"/>
    <col min="13825" max="13825" width="8" style="3294" bestFit="1" customWidth="1"/>
    <col min="13826" max="13826" width="10.5" style="3294" customWidth="1"/>
    <col min="13827" max="13827" width="9.125" style="3294" customWidth="1"/>
    <col min="13828" max="13828" width="10.875" style="3294" customWidth="1"/>
    <col min="13829" max="13829" width="9.375" style="3294" customWidth="1"/>
    <col min="13830" max="13831" width="0" style="3294" hidden="1" customWidth="1"/>
    <col min="13832" max="13833" width="11.75" style="3294" customWidth="1"/>
    <col min="13834" max="13834" width="8.375" style="3294" customWidth="1"/>
    <col min="13835" max="13835" width="12.5" style="3294" customWidth="1"/>
    <col min="13836" max="13843" width="9" style="3294" customWidth="1"/>
    <col min="13844" max="13844" width="20.75" style="3294" customWidth="1"/>
    <col min="13845" max="13845" width="17.625" style="3294" customWidth="1"/>
    <col min="13846" max="13846" width="12.5" style="3294" customWidth="1"/>
    <col min="13847" max="13848" width="17.75" style="3294" customWidth="1"/>
    <col min="13849" max="13850" width="17.125" style="3294" customWidth="1"/>
    <col min="13851" max="13851" width="6.375" style="3294" customWidth="1"/>
    <col min="13852" max="13852" width="12.25" style="3294" customWidth="1"/>
    <col min="13853" max="14058" width="8" style="3294" bestFit="1" customWidth="1"/>
    <col min="14059" max="14080" width="7.875" style="3294"/>
    <col min="14081" max="14081" width="8" style="3294" bestFit="1" customWidth="1"/>
    <col min="14082" max="14082" width="10.5" style="3294" customWidth="1"/>
    <col min="14083" max="14083" width="9.125" style="3294" customWidth="1"/>
    <col min="14084" max="14084" width="10.875" style="3294" customWidth="1"/>
    <col min="14085" max="14085" width="9.375" style="3294" customWidth="1"/>
    <col min="14086" max="14087" width="0" style="3294" hidden="1" customWidth="1"/>
    <col min="14088" max="14089" width="11.75" style="3294" customWidth="1"/>
    <col min="14090" max="14090" width="8.375" style="3294" customWidth="1"/>
    <col min="14091" max="14091" width="12.5" style="3294" customWidth="1"/>
    <col min="14092" max="14099" width="9" style="3294" customWidth="1"/>
    <col min="14100" max="14100" width="20.75" style="3294" customWidth="1"/>
    <col min="14101" max="14101" width="17.625" style="3294" customWidth="1"/>
    <col min="14102" max="14102" width="12.5" style="3294" customWidth="1"/>
    <col min="14103" max="14104" width="17.75" style="3294" customWidth="1"/>
    <col min="14105" max="14106" width="17.125" style="3294" customWidth="1"/>
    <col min="14107" max="14107" width="6.375" style="3294" customWidth="1"/>
    <col min="14108" max="14108" width="12.25" style="3294" customWidth="1"/>
    <col min="14109" max="14314" width="8" style="3294" bestFit="1" customWidth="1"/>
    <col min="14315" max="14336" width="7.875" style="3294"/>
    <col min="14337" max="14337" width="8" style="3294" bestFit="1" customWidth="1"/>
    <col min="14338" max="14338" width="10.5" style="3294" customWidth="1"/>
    <col min="14339" max="14339" width="9.125" style="3294" customWidth="1"/>
    <col min="14340" max="14340" width="10.875" style="3294" customWidth="1"/>
    <col min="14341" max="14341" width="9.375" style="3294" customWidth="1"/>
    <col min="14342" max="14343" width="0" style="3294" hidden="1" customWidth="1"/>
    <col min="14344" max="14345" width="11.75" style="3294" customWidth="1"/>
    <col min="14346" max="14346" width="8.375" style="3294" customWidth="1"/>
    <col min="14347" max="14347" width="12.5" style="3294" customWidth="1"/>
    <col min="14348" max="14355" width="9" style="3294" customWidth="1"/>
    <col min="14356" max="14356" width="20.75" style="3294" customWidth="1"/>
    <col min="14357" max="14357" width="17.625" style="3294" customWidth="1"/>
    <col min="14358" max="14358" width="12.5" style="3294" customWidth="1"/>
    <col min="14359" max="14360" width="17.75" style="3294" customWidth="1"/>
    <col min="14361" max="14362" width="17.125" style="3294" customWidth="1"/>
    <col min="14363" max="14363" width="6.375" style="3294" customWidth="1"/>
    <col min="14364" max="14364" width="12.25" style="3294" customWidth="1"/>
    <col min="14365" max="14570" width="8" style="3294" bestFit="1" customWidth="1"/>
    <col min="14571" max="14592" width="7.875" style="3294"/>
    <col min="14593" max="14593" width="8" style="3294" bestFit="1" customWidth="1"/>
    <col min="14594" max="14594" width="10.5" style="3294" customWidth="1"/>
    <col min="14595" max="14595" width="9.125" style="3294" customWidth="1"/>
    <col min="14596" max="14596" width="10.875" style="3294" customWidth="1"/>
    <col min="14597" max="14597" width="9.375" style="3294" customWidth="1"/>
    <col min="14598" max="14599" width="0" style="3294" hidden="1" customWidth="1"/>
    <col min="14600" max="14601" width="11.75" style="3294" customWidth="1"/>
    <col min="14602" max="14602" width="8.375" style="3294" customWidth="1"/>
    <col min="14603" max="14603" width="12.5" style="3294" customWidth="1"/>
    <col min="14604" max="14611" width="9" style="3294" customWidth="1"/>
    <col min="14612" max="14612" width="20.75" style="3294" customWidth="1"/>
    <col min="14613" max="14613" width="17.625" style="3294" customWidth="1"/>
    <col min="14614" max="14614" width="12.5" style="3294" customWidth="1"/>
    <col min="14615" max="14616" width="17.75" style="3294" customWidth="1"/>
    <col min="14617" max="14618" width="17.125" style="3294" customWidth="1"/>
    <col min="14619" max="14619" width="6.375" style="3294" customWidth="1"/>
    <col min="14620" max="14620" width="12.25" style="3294" customWidth="1"/>
    <col min="14621" max="14826" width="8" style="3294" bestFit="1" customWidth="1"/>
    <col min="14827" max="14848" width="7.875" style="3294"/>
    <col min="14849" max="14849" width="8" style="3294" bestFit="1" customWidth="1"/>
    <col min="14850" max="14850" width="10.5" style="3294" customWidth="1"/>
    <col min="14851" max="14851" width="9.125" style="3294" customWidth="1"/>
    <col min="14852" max="14852" width="10.875" style="3294" customWidth="1"/>
    <col min="14853" max="14853" width="9.375" style="3294" customWidth="1"/>
    <col min="14854" max="14855" width="0" style="3294" hidden="1" customWidth="1"/>
    <col min="14856" max="14857" width="11.75" style="3294" customWidth="1"/>
    <col min="14858" max="14858" width="8.375" style="3294" customWidth="1"/>
    <col min="14859" max="14859" width="12.5" style="3294" customWidth="1"/>
    <col min="14860" max="14867" width="9" style="3294" customWidth="1"/>
    <col min="14868" max="14868" width="20.75" style="3294" customWidth="1"/>
    <col min="14869" max="14869" width="17.625" style="3294" customWidth="1"/>
    <col min="14870" max="14870" width="12.5" style="3294" customWidth="1"/>
    <col min="14871" max="14872" width="17.75" style="3294" customWidth="1"/>
    <col min="14873" max="14874" width="17.125" style="3294" customWidth="1"/>
    <col min="14875" max="14875" width="6.375" style="3294" customWidth="1"/>
    <col min="14876" max="14876" width="12.25" style="3294" customWidth="1"/>
    <col min="14877" max="15082" width="8" style="3294" bestFit="1" customWidth="1"/>
    <col min="15083" max="15104" width="7.875" style="3294"/>
    <col min="15105" max="15105" width="8" style="3294" bestFit="1" customWidth="1"/>
    <col min="15106" max="15106" width="10.5" style="3294" customWidth="1"/>
    <col min="15107" max="15107" width="9.125" style="3294" customWidth="1"/>
    <col min="15108" max="15108" width="10.875" style="3294" customWidth="1"/>
    <col min="15109" max="15109" width="9.375" style="3294" customWidth="1"/>
    <col min="15110" max="15111" width="0" style="3294" hidden="1" customWidth="1"/>
    <col min="15112" max="15113" width="11.75" style="3294" customWidth="1"/>
    <col min="15114" max="15114" width="8.375" style="3294" customWidth="1"/>
    <col min="15115" max="15115" width="12.5" style="3294" customWidth="1"/>
    <col min="15116" max="15123" width="9" style="3294" customWidth="1"/>
    <col min="15124" max="15124" width="20.75" style="3294" customWidth="1"/>
    <col min="15125" max="15125" width="17.625" style="3294" customWidth="1"/>
    <col min="15126" max="15126" width="12.5" style="3294" customWidth="1"/>
    <col min="15127" max="15128" width="17.75" style="3294" customWidth="1"/>
    <col min="15129" max="15130" width="17.125" style="3294" customWidth="1"/>
    <col min="15131" max="15131" width="6.375" style="3294" customWidth="1"/>
    <col min="15132" max="15132" width="12.25" style="3294" customWidth="1"/>
    <col min="15133" max="15338" width="8" style="3294" bestFit="1" customWidth="1"/>
    <col min="15339" max="15360" width="7.875" style="3294"/>
    <col min="15361" max="15361" width="8" style="3294" bestFit="1" customWidth="1"/>
    <col min="15362" max="15362" width="10.5" style="3294" customWidth="1"/>
    <col min="15363" max="15363" width="9.125" style="3294" customWidth="1"/>
    <col min="15364" max="15364" width="10.875" style="3294" customWidth="1"/>
    <col min="15365" max="15365" width="9.375" style="3294" customWidth="1"/>
    <col min="15366" max="15367" width="0" style="3294" hidden="1" customWidth="1"/>
    <col min="15368" max="15369" width="11.75" style="3294" customWidth="1"/>
    <col min="15370" max="15370" width="8.375" style="3294" customWidth="1"/>
    <col min="15371" max="15371" width="12.5" style="3294" customWidth="1"/>
    <col min="15372" max="15379" width="9" style="3294" customWidth="1"/>
    <col min="15380" max="15380" width="20.75" style="3294" customWidth="1"/>
    <col min="15381" max="15381" width="17.625" style="3294" customWidth="1"/>
    <col min="15382" max="15382" width="12.5" style="3294" customWidth="1"/>
    <col min="15383" max="15384" width="17.75" style="3294" customWidth="1"/>
    <col min="15385" max="15386" width="17.125" style="3294" customWidth="1"/>
    <col min="15387" max="15387" width="6.375" style="3294" customWidth="1"/>
    <col min="15388" max="15388" width="12.25" style="3294" customWidth="1"/>
    <col min="15389" max="15594" width="8" style="3294" bestFit="1" customWidth="1"/>
    <col min="15595" max="15616" width="7.875" style="3294"/>
    <col min="15617" max="15617" width="8" style="3294" bestFit="1" customWidth="1"/>
    <col min="15618" max="15618" width="10.5" style="3294" customWidth="1"/>
    <col min="15619" max="15619" width="9.125" style="3294" customWidth="1"/>
    <col min="15620" max="15620" width="10.875" style="3294" customWidth="1"/>
    <col min="15621" max="15621" width="9.375" style="3294" customWidth="1"/>
    <col min="15622" max="15623" width="0" style="3294" hidden="1" customWidth="1"/>
    <col min="15624" max="15625" width="11.75" style="3294" customWidth="1"/>
    <col min="15626" max="15626" width="8.375" style="3294" customWidth="1"/>
    <col min="15627" max="15627" width="12.5" style="3294" customWidth="1"/>
    <col min="15628" max="15635" width="9" style="3294" customWidth="1"/>
    <col min="15636" max="15636" width="20.75" style="3294" customWidth="1"/>
    <col min="15637" max="15637" width="17.625" style="3294" customWidth="1"/>
    <col min="15638" max="15638" width="12.5" style="3294" customWidth="1"/>
    <col min="15639" max="15640" width="17.75" style="3294" customWidth="1"/>
    <col min="15641" max="15642" width="17.125" style="3294" customWidth="1"/>
    <col min="15643" max="15643" width="6.375" style="3294" customWidth="1"/>
    <col min="15644" max="15644" width="12.25" style="3294" customWidth="1"/>
    <col min="15645" max="15850" width="8" style="3294" bestFit="1" customWidth="1"/>
    <col min="15851" max="15872" width="7.875" style="3294"/>
    <col min="15873" max="15873" width="8" style="3294" bestFit="1" customWidth="1"/>
    <col min="15874" max="15874" width="10.5" style="3294" customWidth="1"/>
    <col min="15875" max="15875" width="9.125" style="3294" customWidth="1"/>
    <col min="15876" max="15876" width="10.875" style="3294" customWidth="1"/>
    <col min="15877" max="15877" width="9.375" style="3294" customWidth="1"/>
    <col min="15878" max="15879" width="0" style="3294" hidden="1" customWidth="1"/>
    <col min="15880" max="15881" width="11.75" style="3294" customWidth="1"/>
    <col min="15882" max="15882" width="8.375" style="3294" customWidth="1"/>
    <col min="15883" max="15883" width="12.5" style="3294" customWidth="1"/>
    <col min="15884" max="15891" width="9" style="3294" customWidth="1"/>
    <col min="15892" max="15892" width="20.75" style="3294" customWidth="1"/>
    <col min="15893" max="15893" width="17.625" style="3294" customWidth="1"/>
    <col min="15894" max="15894" width="12.5" style="3294" customWidth="1"/>
    <col min="15895" max="15896" width="17.75" style="3294" customWidth="1"/>
    <col min="15897" max="15898" width="17.125" style="3294" customWidth="1"/>
    <col min="15899" max="15899" width="6.375" style="3294" customWidth="1"/>
    <col min="15900" max="15900" width="12.25" style="3294" customWidth="1"/>
    <col min="15901" max="16106" width="8" style="3294" bestFit="1" customWidth="1"/>
    <col min="16107" max="16128" width="7.875" style="3294"/>
    <col min="16129" max="16129" width="8" style="3294" bestFit="1" customWidth="1"/>
    <col min="16130" max="16130" width="10.5" style="3294" customWidth="1"/>
    <col min="16131" max="16131" width="9.125" style="3294" customWidth="1"/>
    <col min="16132" max="16132" width="10.875" style="3294" customWidth="1"/>
    <col min="16133" max="16133" width="9.375" style="3294" customWidth="1"/>
    <col min="16134" max="16135" width="0" style="3294" hidden="1" customWidth="1"/>
    <col min="16136" max="16137" width="11.75" style="3294" customWidth="1"/>
    <col min="16138" max="16138" width="8.375" style="3294" customWidth="1"/>
    <col min="16139" max="16139" width="12.5" style="3294" customWidth="1"/>
    <col min="16140" max="16147" width="9" style="3294" customWidth="1"/>
    <col min="16148" max="16148" width="20.75" style="3294" customWidth="1"/>
    <col min="16149" max="16149" width="17.625" style="3294" customWidth="1"/>
    <col min="16150" max="16150" width="12.5" style="3294" customWidth="1"/>
    <col min="16151" max="16152" width="17.75" style="3294" customWidth="1"/>
    <col min="16153" max="16154" width="17.125" style="3294" customWidth="1"/>
    <col min="16155" max="16155" width="6.375" style="3294" customWidth="1"/>
    <col min="16156" max="16156" width="12.25" style="3294" customWidth="1"/>
    <col min="16157" max="16362" width="8" style="3294" bestFit="1" customWidth="1"/>
    <col min="16363" max="16384" width="7.875" style="3294"/>
  </cols>
  <sheetData>
    <row r="1" spans="1:29" s="3268" customFormat="1">
      <c r="A1" s="3713" t="s">
        <v>3293</v>
      </c>
      <c r="B1" s="3713"/>
      <c r="C1" s="3713"/>
      <c r="D1" s="3713"/>
      <c r="E1" s="3713"/>
      <c r="F1" s="3713"/>
      <c r="G1" s="3713"/>
      <c r="H1" s="3713"/>
      <c r="I1" s="3266"/>
      <c r="J1" s="3267"/>
      <c r="K1" s="3713" t="s">
        <v>3294</v>
      </c>
      <c r="L1" s="3713"/>
      <c r="M1" s="3713"/>
      <c r="N1" s="3713"/>
      <c r="O1" s="3713"/>
      <c r="P1" s="3713"/>
      <c r="Q1" s="3713"/>
      <c r="R1" s="3713"/>
      <c r="S1" s="3713"/>
      <c r="T1" s="3713"/>
      <c r="U1" s="3713"/>
      <c r="V1" s="3713"/>
      <c r="W1" s="3713"/>
      <c r="X1" s="3714" t="s">
        <v>3295</v>
      </c>
      <c r="Y1" s="3714"/>
      <c r="Z1" s="3714"/>
      <c r="AA1" s="3714"/>
    </row>
    <row r="2" spans="1:29" s="3268" customFormat="1" ht="45">
      <c r="A2" s="3269" t="s">
        <v>3296</v>
      </c>
      <c r="B2" s="3269" t="s">
        <v>3297</v>
      </c>
      <c r="C2" s="3269" t="s">
        <v>3298</v>
      </c>
      <c r="D2" s="3269" t="s">
        <v>3299</v>
      </c>
      <c r="E2" s="3270" t="s">
        <v>3300</v>
      </c>
      <c r="F2" s="3271" t="s">
        <v>3301</v>
      </c>
      <c r="G2" s="3272" t="s">
        <v>3302</v>
      </c>
      <c r="H2" s="3272" t="s">
        <v>3303</v>
      </c>
      <c r="I2" s="3273" t="s">
        <v>3304</v>
      </c>
      <c r="J2" s="3274" t="s">
        <v>3305</v>
      </c>
      <c r="K2" s="3269" t="s">
        <v>3306</v>
      </c>
      <c r="L2" s="3275" t="s">
        <v>3307</v>
      </c>
      <c r="M2" s="3275" t="s">
        <v>3308</v>
      </c>
      <c r="N2" s="3275" t="s">
        <v>3309</v>
      </c>
      <c r="O2" s="3275" t="s">
        <v>3310</v>
      </c>
      <c r="P2" s="3275" t="s">
        <v>3311</v>
      </c>
      <c r="Q2" s="3275" t="s">
        <v>3312</v>
      </c>
      <c r="R2" s="3275" t="s">
        <v>3313</v>
      </c>
      <c r="S2" s="3275" t="s">
        <v>3314</v>
      </c>
      <c r="T2" s="3275" t="s">
        <v>3315</v>
      </c>
      <c r="U2" s="3275" t="s">
        <v>3316</v>
      </c>
      <c r="V2" s="3275" t="s">
        <v>3317</v>
      </c>
      <c r="W2" s="3275" t="s">
        <v>3318</v>
      </c>
      <c r="X2" s="3276" t="s">
        <v>3319</v>
      </c>
      <c r="Y2" s="3276" t="s">
        <v>3320</v>
      </c>
      <c r="Z2" s="3276" t="s">
        <v>3321</v>
      </c>
      <c r="AA2" s="3277" t="s">
        <v>3322</v>
      </c>
    </row>
    <row r="3" spans="1:29" s="3268" customFormat="1" ht="15">
      <c r="A3" s="3269"/>
      <c r="B3" s="3269"/>
      <c r="C3" s="3269"/>
      <c r="D3" s="3269"/>
      <c r="E3" s="3270"/>
      <c r="F3" s="3271"/>
      <c r="G3" s="3272"/>
      <c r="H3" s="3272"/>
      <c r="I3" s="3273"/>
      <c r="J3" s="3274"/>
      <c r="K3" s="3269"/>
      <c r="L3" s="3275"/>
      <c r="M3" s="3275"/>
      <c r="N3" s="3275"/>
      <c r="O3" s="3275"/>
      <c r="P3" s="3275"/>
      <c r="Q3" s="3275"/>
      <c r="R3" s="3275"/>
      <c r="S3" s="3275"/>
      <c r="T3" s="3275"/>
      <c r="U3" s="3275"/>
      <c r="V3" s="3278"/>
      <c r="W3" s="3275"/>
      <c r="X3" s="3276"/>
      <c r="Y3" s="3276"/>
      <c r="Z3" s="3276"/>
      <c r="AA3" s="3277"/>
    </row>
    <row r="4" spans="1:29" s="3288" customFormat="1" ht="15">
      <c r="A4" s="3279">
        <v>1</v>
      </c>
      <c r="B4" s="3280" t="s">
        <v>3323</v>
      </c>
      <c r="C4" s="3280" t="s">
        <v>3324</v>
      </c>
      <c r="D4" s="3279"/>
      <c r="E4" s="3281">
        <v>23100</v>
      </c>
      <c r="F4" s="3282" t="s">
        <v>3325</v>
      </c>
      <c r="G4" s="3280" t="s">
        <v>3326</v>
      </c>
      <c r="H4" s="3280" t="s">
        <v>3327</v>
      </c>
      <c r="I4" s="3282" t="s">
        <v>3328</v>
      </c>
      <c r="J4" s="3283">
        <v>20</v>
      </c>
      <c r="K4" s="3280" t="s">
        <v>3329</v>
      </c>
      <c r="L4" s="3284">
        <v>0.05</v>
      </c>
      <c r="M4" s="3284">
        <v>0.05</v>
      </c>
      <c r="N4" s="3284">
        <v>0.05</v>
      </c>
      <c r="O4" s="3284">
        <v>0.05</v>
      </c>
      <c r="P4" s="3284">
        <v>0.05</v>
      </c>
      <c r="Q4" s="3284">
        <v>0.05</v>
      </c>
      <c r="R4" s="3284">
        <v>0.05</v>
      </c>
      <c r="S4" s="3284">
        <v>0.05</v>
      </c>
      <c r="T4" s="3285">
        <v>833333</v>
      </c>
      <c r="U4" s="3285">
        <v>5000000</v>
      </c>
      <c r="V4" s="3286"/>
      <c r="W4" s="3285"/>
      <c r="X4" s="3280"/>
      <c r="Y4" s="3280"/>
      <c r="Z4" s="3280"/>
      <c r="AA4" s="3287"/>
    </row>
    <row r="5" spans="1:29">
      <c r="A5" s="3289">
        <v>2</v>
      </c>
      <c r="B5" s="3290" t="s">
        <v>3330</v>
      </c>
      <c r="C5" s="3291" t="s">
        <v>3331</v>
      </c>
      <c r="D5" s="3290" t="s">
        <v>3332</v>
      </c>
      <c r="E5" s="3290">
        <v>67.59</v>
      </c>
      <c r="F5" s="3290" t="s">
        <v>3333</v>
      </c>
      <c r="G5" s="3290" t="s">
        <v>3334</v>
      </c>
      <c r="H5" s="3290" t="s">
        <v>3335</v>
      </c>
      <c r="I5" s="3290" t="s">
        <v>3336</v>
      </c>
      <c r="J5" s="3290">
        <v>3</v>
      </c>
      <c r="K5" s="3291" t="s">
        <v>3337</v>
      </c>
      <c r="L5" s="3291">
        <v>240</v>
      </c>
      <c r="M5" s="3291">
        <v>250</v>
      </c>
      <c r="N5" s="3291">
        <v>260</v>
      </c>
      <c r="O5" s="3291" t="s">
        <v>3338</v>
      </c>
      <c r="P5" s="3291" t="s">
        <v>3338</v>
      </c>
      <c r="Q5" s="3291" t="s">
        <v>3338</v>
      </c>
      <c r="R5" s="3291" t="s">
        <v>3338</v>
      </c>
      <c r="S5" s="3291" t="s">
        <v>3338</v>
      </c>
      <c r="T5" s="3291">
        <f t="shared" ref="T5:T16" si="0">E5*L5</f>
        <v>16221.6</v>
      </c>
      <c r="U5" s="3291">
        <f t="shared" ref="U5:U8" si="1">T5*3</f>
        <v>48664.800000000003</v>
      </c>
      <c r="V5" s="3292">
        <v>45</v>
      </c>
      <c r="W5" s="3291">
        <f t="shared" ref="W5:W11" si="2">V5*E5</f>
        <v>3041.55</v>
      </c>
      <c r="X5" s="3291">
        <v>3</v>
      </c>
      <c r="Y5" s="3291" t="s">
        <v>3338</v>
      </c>
      <c r="Z5" s="3291" t="s">
        <v>3338</v>
      </c>
      <c r="AA5" s="3291">
        <v>3</v>
      </c>
      <c r="AB5" s="3293"/>
      <c r="AC5" s="3293"/>
    </row>
    <row r="6" spans="1:29">
      <c r="A6" s="3295">
        <v>3</v>
      </c>
      <c r="B6" s="3290" t="s">
        <v>3339</v>
      </c>
      <c r="C6" s="3291" t="s">
        <v>3331</v>
      </c>
      <c r="D6" s="3290" t="s">
        <v>3340</v>
      </c>
      <c r="E6" s="3290">
        <v>79.150000000000006</v>
      </c>
      <c r="F6" s="3290" t="s">
        <v>3333</v>
      </c>
      <c r="G6" s="3290" t="s">
        <v>3341</v>
      </c>
      <c r="H6" s="3290" t="s">
        <v>3335</v>
      </c>
      <c r="I6" s="3290" t="s">
        <v>3336</v>
      </c>
      <c r="J6" s="3290">
        <v>3</v>
      </c>
      <c r="K6" s="3291" t="s">
        <v>3337</v>
      </c>
      <c r="L6" s="3291">
        <v>230</v>
      </c>
      <c r="M6" s="3291">
        <v>240</v>
      </c>
      <c r="N6" s="3291">
        <v>250</v>
      </c>
      <c r="O6" s="3291" t="s">
        <v>3338</v>
      </c>
      <c r="P6" s="3291" t="s">
        <v>3338</v>
      </c>
      <c r="Q6" s="3291" t="s">
        <v>3338</v>
      </c>
      <c r="R6" s="3291" t="s">
        <v>3338</v>
      </c>
      <c r="S6" s="3291" t="s">
        <v>3338</v>
      </c>
      <c r="T6" s="3291">
        <f t="shared" si="0"/>
        <v>18204.5</v>
      </c>
      <c r="U6" s="3291">
        <f t="shared" si="1"/>
        <v>54613.5</v>
      </c>
      <c r="V6" s="3292">
        <v>45</v>
      </c>
      <c r="W6" s="3291">
        <f t="shared" si="2"/>
        <v>3561.7500000000005</v>
      </c>
      <c r="X6" s="3291">
        <v>3</v>
      </c>
      <c r="Y6" s="3291" t="s">
        <v>3338</v>
      </c>
      <c r="Z6" s="3291" t="s">
        <v>3338</v>
      </c>
      <c r="AA6" s="3291">
        <v>3</v>
      </c>
      <c r="AB6" s="3293"/>
      <c r="AC6" s="3293"/>
    </row>
    <row r="7" spans="1:29">
      <c r="A7" s="3289">
        <v>4</v>
      </c>
      <c r="B7" s="3290" t="s">
        <v>3342</v>
      </c>
      <c r="C7" s="3291" t="s">
        <v>3331</v>
      </c>
      <c r="D7" s="3290" t="s">
        <v>3343</v>
      </c>
      <c r="E7" s="3290">
        <v>86.93</v>
      </c>
      <c r="F7" s="3290" t="s">
        <v>3344</v>
      </c>
      <c r="G7" s="3290" t="s">
        <v>3345</v>
      </c>
      <c r="H7" s="3290" t="s">
        <v>3335</v>
      </c>
      <c r="I7" s="3290" t="s">
        <v>3336</v>
      </c>
      <c r="J7" s="3290">
        <v>3</v>
      </c>
      <c r="K7" s="3291" t="s">
        <v>3337</v>
      </c>
      <c r="L7" s="3291">
        <v>230</v>
      </c>
      <c r="M7" s="3291">
        <v>235</v>
      </c>
      <c r="N7" s="3291">
        <v>240</v>
      </c>
      <c r="O7" s="3291" t="s">
        <v>3338</v>
      </c>
      <c r="P7" s="3291" t="s">
        <v>3338</v>
      </c>
      <c r="Q7" s="3291" t="s">
        <v>3338</v>
      </c>
      <c r="R7" s="3291" t="s">
        <v>3338</v>
      </c>
      <c r="S7" s="3291" t="s">
        <v>3338</v>
      </c>
      <c r="T7" s="3291">
        <f t="shared" si="0"/>
        <v>19993.900000000001</v>
      </c>
      <c r="U7" s="3291">
        <f t="shared" si="1"/>
        <v>59981.700000000004</v>
      </c>
      <c r="V7" s="3292">
        <v>45</v>
      </c>
      <c r="W7" s="3291">
        <f t="shared" si="2"/>
        <v>3911.8500000000004</v>
      </c>
      <c r="X7" s="3291">
        <v>3</v>
      </c>
      <c r="Y7" s="3291" t="s">
        <v>3338</v>
      </c>
      <c r="Z7" s="3291" t="s">
        <v>3338</v>
      </c>
      <c r="AA7" s="3291">
        <v>3</v>
      </c>
      <c r="AB7" s="3293"/>
      <c r="AC7" s="3293"/>
    </row>
    <row r="8" spans="1:29" s="3297" customFormat="1">
      <c r="A8" s="3295">
        <v>5</v>
      </c>
      <c r="B8" s="3296" t="s">
        <v>3346</v>
      </c>
      <c r="C8" s="3292" t="s">
        <v>3331</v>
      </c>
      <c r="D8" s="3296" t="s">
        <v>3347</v>
      </c>
      <c r="E8" s="3296">
        <v>86.56</v>
      </c>
      <c r="F8" s="3296" t="s">
        <v>3348</v>
      </c>
      <c r="G8" s="3296" t="s">
        <v>3349</v>
      </c>
      <c r="H8" s="3296" t="s">
        <v>3335</v>
      </c>
      <c r="I8" s="3296" t="s">
        <v>3336</v>
      </c>
      <c r="J8" s="3296">
        <v>3</v>
      </c>
      <c r="K8" s="3292" t="s">
        <v>3337</v>
      </c>
      <c r="L8" s="3292">
        <v>220</v>
      </c>
      <c r="M8" s="3292">
        <v>230</v>
      </c>
      <c r="N8" s="3292">
        <v>240</v>
      </c>
      <c r="O8" s="3292" t="s">
        <v>3338</v>
      </c>
      <c r="P8" s="3292" t="s">
        <v>3338</v>
      </c>
      <c r="Q8" s="3292" t="s">
        <v>3338</v>
      </c>
      <c r="R8" s="3292" t="s">
        <v>3338</v>
      </c>
      <c r="S8" s="3292" t="s">
        <v>3338</v>
      </c>
      <c r="T8" s="3292">
        <f t="shared" si="0"/>
        <v>19043.2</v>
      </c>
      <c r="U8" s="3292">
        <f t="shared" si="1"/>
        <v>57129.600000000006</v>
      </c>
      <c r="V8" s="3292">
        <v>45</v>
      </c>
      <c r="W8" s="3292">
        <f t="shared" si="2"/>
        <v>3895.2000000000003</v>
      </c>
      <c r="X8" s="3292">
        <v>3</v>
      </c>
      <c r="Y8" s="3292" t="s">
        <v>3338</v>
      </c>
      <c r="Z8" s="3292" t="s">
        <v>3338</v>
      </c>
      <c r="AA8" s="3292">
        <v>3</v>
      </c>
    </row>
    <row r="9" spans="1:29" s="3297" customFormat="1">
      <c r="A9" s="3298">
        <v>6</v>
      </c>
      <c r="B9" s="3296" t="s">
        <v>3350</v>
      </c>
      <c r="C9" s="3292" t="s">
        <v>3331</v>
      </c>
      <c r="D9" s="3296" t="s">
        <v>3351</v>
      </c>
      <c r="E9" s="3296">
        <v>104.83</v>
      </c>
      <c r="F9" s="3296" t="s">
        <v>3333</v>
      </c>
      <c r="G9" s="3296" t="s">
        <v>3352</v>
      </c>
      <c r="H9" s="3296" t="s">
        <v>3335</v>
      </c>
      <c r="I9" s="3296" t="s">
        <v>3336</v>
      </c>
      <c r="J9" s="3296">
        <v>3</v>
      </c>
      <c r="K9" s="3292" t="s">
        <v>3337</v>
      </c>
      <c r="L9" s="3292">
        <v>200</v>
      </c>
      <c r="M9" s="3292">
        <v>210</v>
      </c>
      <c r="N9" s="3292">
        <v>220</v>
      </c>
      <c r="O9" s="3292" t="s">
        <v>3338</v>
      </c>
      <c r="P9" s="3292" t="s">
        <v>3338</v>
      </c>
      <c r="Q9" s="3292" t="s">
        <v>3338</v>
      </c>
      <c r="R9" s="3292" t="s">
        <v>3338</v>
      </c>
      <c r="S9" s="3292" t="s">
        <v>3338</v>
      </c>
      <c r="T9" s="3292">
        <f t="shared" si="0"/>
        <v>20966</v>
      </c>
      <c r="U9" s="3292">
        <f>T9*4</f>
        <v>83864</v>
      </c>
      <c r="V9" s="3292">
        <v>45</v>
      </c>
      <c r="W9" s="3292">
        <f t="shared" si="2"/>
        <v>4717.3500000000004</v>
      </c>
      <c r="X9" s="3292" t="s">
        <v>3353</v>
      </c>
      <c r="Y9" s="3292" t="s">
        <v>3338</v>
      </c>
      <c r="Z9" s="3292" t="s">
        <v>3338</v>
      </c>
      <c r="AA9" s="3292">
        <v>3</v>
      </c>
    </row>
    <row r="10" spans="1:29" s="3297" customFormat="1">
      <c r="A10" s="3295">
        <v>7</v>
      </c>
      <c r="B10" s="3296" t="s">
        <v>3354</v>
      </c>
      <c r="C10" s="3292" t="s">
        <v>3331</v>
      </c>
      <c r="D10" s="3296" t="s">
        <v>3355</v>
      </c>
      <c r="E10" s="3296">
        <v>85.51</v>
      </c>
      <c r="F10" s="3296" t="s">
        <v>3356</v>
      </c>
      <c r="G10" s="3296" t="s">
        <v>3357</v>
      </c>
      <c r="H10" s="3296" t="s">
        <v>3335</v>
      </c>
      <c r="I10" s="3296" t="s">
        <v>3336</v>
      </c>
      <c r="J10" s="3296">
        <v>3</v>
      </c>
      <c r="K10" s="3292" t="s">
        <v>3337</v>
      </c>
      <c r="L10" s="3292">
        <v>200</v>
      </c>
      <c r="M10" s="3292">
        <v>214</v>
      </c>
      <c r="N10" s="3292">
        <v>226</v>
      </c>
      <c r="O10" s="3292" t="s">
        <v>3338</v>
      </c>
      <c r="P10" s="3292" t="s">
        <v>3338</v>
      </c>
      <c r="Q10" s="3292" t="s">
        <v>3338</v>
      </c>
      <c r="R10" s="3292" t="s">
        <v>3338</v>
      </c>
      <c r="S10" s="3292" t="s">
        <v>3338</v>
      </c>
      <c r="T10" s="3292">
        <f t="shared" si="0"/>
        <v>17102</v>
      </c>
      <c r="U10" s="3292">
        <f t="shared" ref="U10:U12" si="3">T10*3</f>
        <v>51306</v>
      </c>
      <c r="V10" s="3292">
        <v>45</v>
      </c>
      <c r="W10" s="3292">
        <f t="shared" si="2"/>
        <v>3847.9500000000003</v>
      </c>
      <c r="X10" s="3292">
        <v>3</v>
      </c>
      <c r="Y10" s="3292" t="s">
        <v>3338</v>
      </c>
      <c r="Z10" s="3292" t="s">
        <v>3338</v>
      </c>
      <c r="AA10" s="3292">
        <v>3</v>
      </c>
    </row>
    <row r="11" spans="1:29" s="3297" customFormat="1">
      <c r="A11" s="3298">
        <v>8</v>
      </c>
      <c r="B11" s="3296" t="s">
        <v>3358</v>
      </c>
      <c r="C11" s="3292" t="s">
        <v>3331</v>
      </c>
      <c r="D11" s="3296" t="s">
        <v>3359</v>
      </c>
      <c r="E11" s="3296">
        <v>137.41</v>
      </c>
      <c r="F11" s="3296" t="s">
        <v>3360</v>
      </c>
      <c r="G11" s="3296" t="s">
        <v>3361</v>
      </c>
      <c r="H11" s="3296" t="s">
        <v>3335</v>
      </c>
      <c r="I11" s="3296" t="s">
        <v>3336</v>
      </c>
      <c r="J11" s="3296">
        <v>3</v>
      </c>
      <c r="K11" s="3292" t="s">
        <v>3337</v>
      </c>
      <c r="L11" s="3292">
        <v>195</v>
      </c>
      <c r="M11" s="3292">
        <v>205</v>
      </c>
      <c r="N11" s="3292">
        <v>215</v>
      </c>
      <c r="O11" s="3292" t="s">
        <v>3338</v>
      </c>
      <c r="P11" s="3292" t="s">
        <v>3338</v>
      </c>
      <c r="Q11" s="3292" t="s">
        <v>3338</v>
      </c>
      <c r="R11" s="3292" t="s">
        <v>3338</v>
      </c>
      <c r="S11" s="3292" t="s">
        <v>3338</v>
      </c>
      <c r="T11" s="3292">
        <f t="shared" si="0"/>
        <v>26794.95</v>
      </c>
      <c r="U11" s="3292">
        <f t="shared" si="3"/>
        <v>80384.850000000006</v>
      </c>
      <c r="V11" s="3292">
        <v>45</v>
      </c>
      <c r="W11" s="3292">
        <f t="shared" si="2"/>
        <v>6183.45</v>
      </c>
      <c r="X11" s="3292">
        <v>3</v>
      </c>
      <c r="Y11" s="3292" t="s">
        <v>3338</v>
      </c>
      <c r="Z11" s="3292" t="s">
        <v>3338</v>
      </c>
      <c r="AA11" s="3292">
        <v>3</v>
      </c>
      <c r="AB11" s="3299"/>
    </row>
    <row r="12" spans="1:29" s="3297" customFormat="1">
      <c r="A12" s="3295">
        <v>9</v>
      </c>
      <c r="B12" s="3296" t="s">
        <v>3362</v>
      </c>
      <c r="C12" s="3292" t="s">
        <v>3331</v>
      </c>
      <c r="D12" s="3296" t="s">
        <v>3363</v>
      </c>
      <c r="E12" s="3296">
        <v>36.26</v>
      </c>
      <c r="F12" s="3296" t="s">
        <v>3364</v>
      </c>
      <c r="G12" s="3296" t="s">
        <v>3365</v>
      </c>
      <c r="H12" s="3296" t="s">
        <v>3335</v>
      </c>
      <c r="I12" s="3296" t="s">
        <v>3336</v>
      </c>
      <c r="J12" s="3296">
        <v>3</v>
      </c>
      <c r="K12" s="3292" t="s">
        <v>3337</v>
      </c>
      <c r="L12" s="3292">
        <v>180</v>
      </c>
      <c r="M12" s="3292">
        <v>189</v>
      </c>
      <c r="N12" s="3292">
        <v>198</v>
      </c>
      <c r="O12" s="3292" t="s">
        <v>3338</v>
      </c>
      <c r="P12" s="3292" t="s">
        <v>3338</v>
      </c>
      <c r="Q12" s="3292" t="s">
        <v>3338</v>
      </c>
      <c r="R12" s="3292" t="s">
        <v>3338</v>
      </c>
      <c r="S12" s="3292" t="s">
        <v>3338</v>
      </c>
      <c r="T12" s="3292">
        <f t="shared" si="0"/>
        <v>6526.7999999999993</v>
      </c>
      <c r="U12" s="3292">
        <f t="shared" si="3"/>
        <v>19580.399999999998</v>
      </c>
      <c r="V12" s="3292">
        <v>45</v>
      </c>
      <c r="W12" s="3292">
        <v>1631.7</v>
      </c>
      <c r="X12" s="3292">
        <v>3</v>
      </c>
      <c r="Y12" s="3292" t="s">
        <v>3338</v>
      </c>
      <c r="Z12" s="3292" t="s">
        <v>3338</v>
      </c>
      <c r="AA12" s="3292">
        <v>3</v>
      </c>
      <c r="AB12" s="3299"/>
    </row>
    <row r="13" spans="1:29" s="3297" customFormat="1">
      <c r="A13" s="3298">
        <v>10</v>
      </c>
      <c r="B13" s="3296" t="s">
        <v>3366</v>
      </c>
      <c r="C13" s="3292" t="s">
        <v>3331</v>
      </c>
      <c r="D13" s="3296" t="s">
        <v>3367</v>
      </c>
      <c r="E13" s="3296">
        <v>36.26</v>
      </c>
      <c r="F13" s="3296" t="s">
        <v>3364</v>
      </c>
      <c r="G13" s="3296" t="s">
        <v>3368</v>
      </c>
      <c r="H13" s="3296" t="s">
        <v>3335</v>
      </c>
      <c r="I13" s="3296" t="s">
        <v>3336</v>
      </c>
      <c r="J13" s="3296">
        <v>3</v>
      </c>
      <c r="K13" s="3292" t="s">
        <v>3337</v>
      </c>
      <c r="L13" s="3292">
        <v>195</v>
      </c>
      <c r="M13" s="3292">
        <v>200</v>
      </c>
      <c r="N13" s="3292">
        <v>210</v>
      </c>
      <c r="O13" s="3292"/>
      <c r="P13" s="3292"/>
      <c r="Q13" s="3292"/>
      <c r="R13" s="3292"/>
      <c r="S13" s="3292"/>
      <c r="T13" s="3292">
        <f t="shared" si="0"/>
        <v>7070.7</v>
      </c>
      <c r="U13" s="3292"/>
      <c r="V13" s="3292">
        <v>45</v>
      </c>
      <c r="W13" s="3292">
        <f>V13*E13</f>
        <v>1631.6999999999998</v>
      </c>
      <c r="X13" s="3292">
        <v>6</v>
      </c>
      <c r="Y13" s="3292"/>
      <c r="Z13" s="3292"/>
      <c r="AA13" s="3292">
        <v>6</v>
      </c>
    </row>
    <row r="14" spans="1:29" s="3297" customFormat="1">
      <c r="A14" s="3295">
        <v>11</v>
      </c>
      <c r="B14" s="3296" t="s">
        <v>3369</v>
      </c>
      <c r="C14" s="3292" t="s">
        <v>3331</v>
      </c>
      <c r="D14" s="3296" t="s">
        <v>3370</v>
      </c>
      <c r="E14" s="3296">
        <v>93.6</v>
      </c>
      <c r="F14" s="3296" t="s">
        <v>3348</v>
      </c>
      <c r="G14" s="3296" t="s">
        <v>3371</v>
      </c>
      <c r="H14" s="3296" t="s">
        <v>3335</v>
      </c>
      <c r="I14" s="3296" t="s">
        <v>3336</v>
      </c>
      <c r="J14" s="3296">
        <v>3</v>
      </c>
      <c r="K14" s="3292" t="s">
        <v>3337</v>
      </c>
      <c r="L14" s="3292">
        <v>175</v>
      </c>
      <c r="M14" s="3292">
        <v>180</v>
      </c>
      <c r="N14" s="3292">
        <v>185</v>
      </c>
      <c r="O14" s="3292"/>
      <c r="P14" s="3292"/>
      <c r="Q14" s="3292"/>
      <c r="R14" s="3292"/>
      <c r="S14" s="3292"/>
      <c r="T14" s="3292">
        <f t="shared" si="0"/>
        <v>16379.999999999998</v>
      </c>
      <c r="U14" s="3292"/>
      <c r="V14" s="3292">
        <v>45</v>
      </c>
      <c r="W14" s="3292">
        <v>4212</v>
      </c>
      <c r="X14" s="3292">
        <v>6</v>
      </c>
      <c r="Y14" s="3292"/>
      <c r="Z14" s="3292"/>
      <c r="AA14" s="3292">
        <v>6</v>
      </c>
    </row>
    <row r="15" spans="1:29" s="3303" customFormat="1">
      <c r="A15" s="3300">
        <v>12</v>
      </c>
      <c r="B15" s="3301" t="s">
        <v>3372</v>
      </c>
      <c r="C15" s="3302" t="s">
        <v>3331</v>
      </c>
      <c r="D15" s="3301" t="s">
        <v>3373</v>
      </c>
      <c r="E15" s="3301">
        <v>417.27</v>
      </c>
      <c r="F15" s="3301" t="s">
        <v>3374</v>
      </c>
      <c r="G15" s="3301" t="s">
        <v>3375</v>
      </c>
      <c r="H15" s="3301" t="s">
        <v>3376</v>
      </c>
      <c r="I15" s="3301" t="s">
        <v>3377</v>
      </c>
      <c r="J15" s="3301">
        <v>8</v>
      </c>
      <c r="K15" s="3302" t="s">
        <v>3337</v>
      </c>
      <c r="L15" s="3302">
        <v>125</v>
      </c>
      <c r="M15" s="3302">
        <v>131</v>
      </c>
      <c r="N15" s="3302">
        <v>131</v>
      </c>
      <c r="O15" s="3302">
        <v>138</v>
      </c>
      <c r="P15" s="3302">
        <v>138</v>
      </c>
      <c r="Q15" s="3302"/>
      <c r="R15" s="3302"/>
      <c r="S15" s="3302"/>
      <c r="T15" s="3302">
        <f t="shared" si="0"/>
        <v>52158.75</v>
      </c>
      <c r="U15" s="3302">
        <f>T15*6</f>
        <v>312952.5</v>
      </c>
      <c r="V15" s="3302">
        <v>20</v>
      </c>
      <c r="W15" s="3302">
        <v>8345.4</v>
      </c>
      <c r="X15" s="3302">
        <v>6</v>
      </c>
      <c r="Y15" s="3302"/>
      <c r="Z15" s="3302"/>
      <c r="AA15" s="3302">
        <v>6</v>
      </c>
    </row>
    <row r="16" spans="1:29" s="3297" customFormat="1">
      <c r="A16" s="3295">
        <v>13</v>
      </c>
      <c r="B16" s="3296" t="s">
        <v>3378</v>
      </c>
      <c r="C16" s="3292" t="s">
        <v>3331</v>
      </c>
      <c r="D16" s="3296" t="s">
        <v>3379</v>
      </c>
      <c r="E16" s="3296">
        <v>1076.04</v>
      </c>
      <c r="F16" s="3296" t="s">
        <v>3380</v>
      </c>
      <c r="G16" s="3296" t="s">
        <v>3381</v>
      </c>
      <c r="H16" s="3296" t="s">
        <v>3335</v>
      </c>
      <c r="I16" s="3296" t="s">
        <v>3382</v>
      </c>
      <c r="J16" s="3296">
        <v>6</v>
      </c>
      <c r="K16" s="3292" t="s">
        <v>3337</v>
      </c>
      <c r="L16" s="3292">
        <v>165</v>
      </c>
      <c r="M16" s="3292">
        <v>175</v>
      </c>
      <c r="N16" s="3292">
        <v>185</v>
      </c>
      <c r="O16" s="3292">
        <v>190</v>
      </c>
      <c r="P16" s="3292">
        <v>195</v>
      </c>
      <c r="Q16" s="3292">
        <v>200</v>
      </c>
      <c r="R16" s="3292" t="s">
        <v>3338</v>
      </c>
      <c r="S16" s="3292" t="s">
        <v>3338</v>
      </c>
      <c r="T16" s="3292">
        <f t="shared" si="0"/>
        <v>177546.6</v>
      </c>
      <c r="U16" s="3292"/>
      <c r="V16" s="3292">
        <v>18</v>
      </c>
      <c r="W16" s="3292">
        <f>V16*E16</f>
        <v>19368.72</v>
      </c>
      <c r="X16" s="3292">
        <v>6</v>
      </c>
      <c r="Y16" s="3292">
        <v>3</v>
      </c>
      <c r="Z16" s="3292">
        <v>3</v>
      </c>
      <c r="AA16" s="3292">
        <v>12</v>
      </c>
      <c r="AB16" s="3299"/>
    </row>
    <row r="17" spans="1:28" s="3297" customFormat="1">
      <c r="A17" s="3304">
        <v>14</v>
      </c>
      <c r="B17" s="3305" t="s">
        <v>3383</v>
      </c>
      <c r="C17" s="3306" t="s">
        <v>3331</v>
      </c>
      <c r="D17" s="3305" t="s">
        <v>3384</v>
      </c>
      <c r="E17" s="3305">
        <v>72.900000000000006</v>
      </c>
      <c r="F17" s="3305" t="s">
        <v>3360</v>
      </c>
      <c r="G17" s="3305" t="s">
        <v>3385</v>
      </c>
      <c r="H17" s="3305" t="s">
        <v>3335</v>
      </c>
      <c r="I17" s="3305" t="s">
        <v>3336</v>
      </c>
      <c r="J17" s="3305">
        <v>3</v>
      </c>
      <c r="K17" s="3306" t="s">
        <v>3329</v>
      </c>
      <c r="L17" s="3307">
        <v>0.08</v>
      </c>
      <c r="M17" s="3307">
        <v>0.09</v>
      </c>
      <c r="N17" s="3307">
        <v>0.1</v>
      </c>
      <c r="O17" s="3306" t="s">
        <v>3338</v>
      </c>
      <c r="P17" s="3306" t="s">
        <v>3338</v>
      </c>
      <c r="Q17" s="3306" t="s">
        <v>3338</v>
      </c>
      <c r="R17" s="3306" t="s">
        <v>3338</v>
      </c>
      <c r="S17" s="3306" t="s">
        <v>3338</v>
      </c>
      <c r="T17" s="3292">
        <f>E17*165</f>
        <v>12028.500000000002</v>
      </c>
      <c r="U17" s="3308">
        <v>76545</v>
      </c>
      <c r="V17" s="3304" t="s">
        <v>3338</v>
      </c>
      <c r="W17" s="3307">
        <v>0.04</v>
      </c>
      <c r="X17" s="3292" t="s">
        <v>3338</v>
      </c>
      <c r="Y17" s="3292" t="s">
        <v>3338</v>
      </c>
      <c r="Z17" s="3292" t="s">
        <v>3338</v>
      </c>
      <c r="AA17" s="3292" t="s">
        <v>3338</v>
      </c>
      <c r="AB17" s="3299"/>
    </row>
    <row r="18" spans="1:28" s="3297" customFormat="1">
      <c r="A18" s="3295">
        <v>15</v>
      </c>
      <c r="B18" s="3296" t="s">
        <v>3386</v>
      </c>
      <c r="C18" s="3292" t="s">
        <v>3331</v>
      </c>
      <c r="D18" s="3296" t="s">
        <v>3387</v>
      </c>
      <c r="E18" s="3296">
        <v>103.17</v>
      </c>
      <c r="F18" s="3296" t="s">
        <v>3348</v>
      </c>
      <c r="G18" s="3296" t="s">
        <v>3388</v>
      </c>
      <c r="H18" s="3296" t="s">
        <v>3335</v>
      </c>
      <c r="I18" s="3296" t="s">
        <v>3336</v>
      </c>
      <c r="J18" s="3296">
        <v>3</v>
      </c>
      <c r="K18" s="3292" t="s">
        <v>3337</v>
      </c>
      <c r="L18" s="3309">
        <v>200</v>
      </c>
      <c r="M18" s="3309">
        <v>205</v>
      </c>
      <c r="N18" s="3309">
        <v>210</v>
      </c>
      <c r="O18" s="3292" t="s">
        <v>3338</v>
      </c>
      <c r="P18" s="3292" t="s">
        <v>3338</v>
      </c>
      <c r="Q18" s="3292" t="s">
        <v>3338</v>
      </c>
      <c r="R18" s="3292" t="s">
        <v>3338</v>
      </c>
      <c r="S18" s="3292" t="s">
        <v>3338</v>
      </c>
      <c r="T18" s="3309">
        <f>E18*L18</f>
        <v>20634</v>
      </c>
      <c r="U18" s="3309">
        <f t="shared" ref="U18:U22" si="4">T18*3</f>
        <v>61902</v>
      </c>
      <c r="V18" s="3298">
        <v>45</v>
      </c>
      <c r="W18" s="3309">
        <v>4642.6499999999996</v>
      </c>
      <c r="X18" s="3292">
        <v>3</v>
      </c>
      <c r="Y18" s="3292" t="s">
        <v>3338</v>
      </c>
      <c r="Z18" s="3292" t="s">
        <v>3338</v>
      </c>
      <c r="AA18" s="3292">
        <v>3</v>
      </c>
      <c r="AB18" s="3299"/>
    </row>
    <row r="19" spans="1:28" s="3297" customFormat="1">
      <c r="A19" s="3304">
        <v>16</v>
      </c>
      <c r="B19" s="3305" t="s">
        <v>3389</v>
      </c>
      <c r="C19" s="3306" t="s">
        <v>3331</v>
      </c>
      <c r="D19" s="3305" t="s">
        <v>3390</v>
      </c>
      <c r="E19" s="3305">
        <v>136.05000000000001</v>
      </c>
      <c r="F19" s="3305" t="s">
        <v>3360</v>
      </c>
      <c r="G19" s="3305" t="s">
        <v>3391</v>
      </c>
      <c r="H19" s="3305" t="s">
        <v>3335</v>
      </c>
      <c r="I19" s="3305" t="s">
        <v>3336</v>
      </c>
      <c r="J19" s="3305">
        <v>3</v>
      </c>
      <c r="K19" s="3306" t="s">
        <v>3329</v>
      </c>
      <c r="L19" s="3307">
        <v>0.08</v>
      </c>
      <c r="M19" s="3307">
        <v>0.09</v>
      </c>
      <c r="N19" s="3307">
        <v>0.1</v>
      </c>
      <c r="O19" s="3306" t="s">
        <v>3338</v>
      </c>
      <c r="P19" s="3306" t="s">
        <v>3338</v>
      </c>
      <c r="Q19" s="3306" t="s">
        <v>3338</v>
      </c>
      <c r="R19" s="3306" t="s">
        <v>3338</v>
      </c>
      <c r="S19" s="3306" t="s">
        <v>3338</v>
      </c>
      <c r="T19" s="3309">
        <f>E19*165</f>
        <v>22448.250000000004</v>
      </c>
      <c r="U19" s="3307"/>
      <c r="V19" s="3304">
        <v>26</v>
      </c>
      <c r="W19" s="3308">
        <v>3537.3</v>
      </c>
      <c r="X19" s="3306">
        <v>6</v>
      </c>
      <c r="Y19" s="3292" t="s">
        <v>3338</v>
      </c>
      <c r="Z19" s="3292" t="s">
        <v>3338</v>
      </c>
      <c r="AA19" s="3292">
        <v>6</v>
      </c>
      <c r="AB19" s="3299"/>
    </row>
    <row r="20" spans="1:28" s="3297" customFormat="1">
      <c r="A20" s="3295">
        <v>17</v>
      </c>
      <c r="B20" s="3296" t="s">
        <v>3392</v>
      </c>
      <c r="C20" s="3292" t="s">
        <v>3331</v>
      </c>
      <c r="D20" s="3296" t="s">
        <v>3393</v>
      </c>
      <c r="E20" s="3296">
        <v>113.46</v>
      </c>
      <c r="F20" s="3296" t="s">
        <v>3348</v>
      </c>
      <c r="G20" s="3296" t="s">
        <v>3394</v>
      </c>
      <c r="H20" s="3296" t="s">
        <v>3335</v>
      </c>
      <c r="I20" s="3296" t="s">
        <v>3336</v>
      </c>
      <c r="J20" s="3296">
        <v>3</v>
      </c>
      <c r="K20" s="3292" t="s">
        <v>3337</v>
      </c>
      <c r="L20" s="3309">
        <v>210</v>
      </c>
      <c r="M20" s="3309">
        <v>215</v>
      </c>
      <c r="N20" s="3309">
        <v>220</v>
      </c>
      <c r="O20" s="3292" t="s">
        <v>3338</v>
      </c>
      <c r="P20" s="3292" t="s">
        <v>3338</v>
      </c>
      <c r="Q20" s="3292" t="s">
        <v>3338</v>
      </c>
      <c r="R20" s="3292" t="s">
        <v>3338</v>
      </c>
      <c r="S20" s="3292" t="s">
        <v>3338</v>
      </c>
      <c r="T20" s="3309">
        <f>E20*L20</f>
        <v>23826.6</v>
      </c>
      <c r="U20" s="3309">
        <f t="shared" si="4"/>
        <v>71479.799999999988</v>
      </c>
      <c r="V20" s="3298">
        <v>45</v>
      </c>
      <c r="W20" s="3309">
        <v>5105.7</v>
      </c>
      <c r="X20" s="3292">
        <v>3</v>
      </c>
      <c r="Y20" s="3292" t="s">
        <v>3338</v>
      </c>
      <c r="Z20" s="3292" t="s">
        <v>3338</v>
      </c>
      <c r="AA20" s="3292">
        <v>3</v>
      </c>
      <c r="AB20" s="3299"/>
    </row>
    <row r="21" spans="1:28" s="3297" customFormat="1">
      <c r="A21" s="3298">
        <v>18</v>
      </c>
      <c r="B21" s="3296" t="s">
        <v>3395</v>
      </c>
      <c r="C21" s="3292" t="s">
        <v>3331</v>
      </c>
      <c r="D21" s="3296" t="s">
        <v>3396</v>
      </c>
      <c r="E21" s="3296">
        <v>109</v>
      </c>
      <c r="F21" s="3296" t="s">
        <v>3397</v>
      </c>
      <c r="G21" s="3296" t="s">
        <v>3398</v>
      </c>
      <c r="H21" s="3296" t="s">
        <v>3335</v>
      </c>
      <c r="I21" s="3296" t="s">
        <v>3336</v>
      </c>
      <c r="J21" s="3296">
        <v>3</v>
      </c>
      <c r="K21" s="3292" t="s">
        <v>3337</v>
      </c>
      <c r="L21" s="3292">
        <v>200</v>
      </c>
      <c r="M21" s="3292">
        <v>210</v>
      </c>
      <c r="N21" s="3292">
        <v>220</v>
      </c>
      <c r="O21" s="3292" t="s">
        <v>3338</v>
      </c>
      <c r="P21" s="3292" t="s">
        <v>3338</v>
      </c>
      <c r="Q21" s="3292" t="s">
        <v>3338</v>
      </c>
      <c r="R21" s="3292" t="s">
        <v>3338</v>
      </c>
      <c r="S21" s="3292" t="s">
        <v>3338</v>
      </c>
      <c r="T21" s="3292">
        <f>E21*L21</f>
        <v>21800</v>
      </c>
      <c r="U21" s="3292"/>
      <c r="V21" s="3298">
        <v>45</v>
      </c>
      <c r="W21" s="3292">
        <f>V21*E21</f>
        <v>4905</v>
      </c>
      <c r="X21" s="3292">
        <v>6</v>
      </c>
      <c r="Y21" s="3292">
        <v>6</v>
      </c>
      <c r="Z21" s="3292" t="s">
        <v>3338</v>
      </c>
      <c r="AA21" s="3292">
        <v>12</v>
      </c>
      <c r="AB21" s="3299"/>
    </row>
    <row r="22" spans="1:28" s="3297" customFormat="1">
      <c r="A22" s="3295">
        <v>19</v>
      </c>
      <c r="B22" s="3296" t="s">
        <v>3399</v>
      </c>
      <c r="C22" s="3292" t="s">
        <v>3331</v>
      </c>
      <c r="D22" s="3296" t="s">
        <v>3400</v>
      </c>
      <c r="E22" s="3296">
        <v>102.83</v>
      </c>
      <c r="F22" s="3296" t="s">
        <v>3401</v>
      </c>
      <c r="G22" s="3296" t="s">
        <v>3402</v>
      </c>
      <c r="H22" s="3296" t="s">
        <v>3335</v>
      </c>
      <c r="I22" s="3296" t="s">
        <v>3336</v>
      </c>
      <c r="J22" s="3296">
        <v>3</v>
      </c>
      <c r="K22" s="3292" t="s">
        <v>3337</v>
      </c>
      <c r="L22" s="3292">
        <v>215</v>
      </c>
      <c r="M22" s="3292">
        <v>220</v>
      </c>
      <c r="N22" s="3292">
        <v>225</v>
      </c>
      <c r="O22" s="3292" t="s">
        <v>3338</v>
      </c>
      <c r="P22" s="3292" t="s">
        <v>3338</v>
      </c>
      <c r="Q22" s="3292" t="s">
        <v>3338</v>
      </c>
      <c r="R22" s="3292" t="s">
        <v>3338</v>
      </c>
      <c r="S22" s="3292" t="s">
        <v>3338</v>
      </c>
      <c r="T22" s="3292">
        <f>E22*L22</f>
        <v>22108.45</v>
      </c>
      <c r="U22" s="3292">
        <f t="shared" si="4"/>
        <v>66325.350000000006</v>
      </c>
      <c r="V22" s="3292">
        <v>45</v>
      </c>
      <c r="W22" s="3292">
        <f>V22*E22</f>
        <v>4627.3500000000004</v>
      </c>
      <c r="X22" s="3292">
        <v>3</v>
      </c>
      <c r="Y22" s="3292" t="s">
        <v>3338</v>
      </c>
      <c r="Z22" s="3292" t="s">
        <v>3338</v>
      </c>
      <c r="AA22" s="3292">
        <v>3</v>
      </c>
      <c r="AB22" s="3299"/>
    </row>
    <row r="23" spans="1:28" s="3297" customFormat="1">
      <c r="A23" s="3298">
        <v>20</v>
      </c>
      <c r="B23" s="3296" t="s">
        <v>3403</v>
      </c>
      <c r="C23" s="3292" t="s">
        <v>3331</v>
      </c>
      <c r="D23" s="3296" t="s">
        <v>3404</v>
      </c>
      <c r="E23" s="3296">
        <v>140.9</v>
      </c>
      <c r="F23" s="3296" t="s">
        <v>3360</v>
      </c>
      <c r="G23" s="3296" t="s">
        <v>3405</v>
      </c>
      <c r="H23" s="3296" t="s">
        <v>3335</v>
      </c>
      <c r="I23" s="3296" t="s">
        <v>3336</v>
      </c>
      <c r="J23" s="3296">
        <v>3</v>
      </c>
      <c r="K23" s="3292" t="s">
        <v>3337</v>
      </c>
      <c r="L23" s="3292">
        <v>210</v>
      </c>
      <c r="M23" s="3292">
        <v>220</v>
      </c>
      <c r="N23" s="3292">
        <v>230</v>
      </c>
      <c r="O23" s="3292" t="s">
        <v>3338</v>
      </c>
      <c r="P23" s="3292" t="s">
        <v>3338</v>
      </c>
      <c r="Q23" s="3292" t="s">
        <v>3338</v>
      </c>
      <c r="R23" s="3292" t="s">
        <v>3338</v>
      </c>
      <c r="S23" s="3292" t="s">
        <v>3338</v>
      </c>
      <c r="T23" s="3292">
        <f>E23*L23</f>
        <v>29589</v>
      </c>
      <c r="U23" s="3292"/>
      <c r="V23" s="3292">
        <v>45</v>
      </c>
      <c r="W23" s="3292">
        <f>V23*E23</f>
        <v>6340.5</v>
      </c>
      <c r="X23" s="3292">
        <v>6</v>
      </c>
      <c r="Y23" s="3292" t="s">
        <v>3338</v>
      </c>
      <c r="Z23" s="3292" t="s">
        <v>3338</v>
      </c>
      <c r="AA23" s="3292">
        <v>6</v>
      </c>
    </row>
    <row r="24" spans="1:28" s="3303" customFormat="1">
      <c r="A24" s="3310">
        <v>21</v>
      </c>
      <c r="B24" s="3301" t="s">
        <v>3406</v>
      </c>
      <c r="C24" s="3302" t="s">
        <v>3331</v>
      </c>
      <c r="D24" s="3301" t="s">
        <v>3407</v>
      </c>
      <c r="E24" s="3301">
        <v>387</v>
      </c>
      <c r="F24" s="3301" t="s">
        <v>3374</v>
      </c>
      <c r="G24" s="3301" t="s">
        <v>3408</v>
      </c>
      <c r="H24" s="3301" t="s">
        <v>3376</v>
      </c>
      <c r="I24" s="3301" t="s">
        <v>3409</v>
      </c>
      <c r="J24" s="3301">
        <v>8</v>
      </c>
      <c r="K24" s="3302" t="s">
        <v>3337</v>
      </c>
      <c r="L24" s="3302">
        <v>130</v>
      </c>
      <c r="M24" s="3302">
        <v>130</v>
      </c>
      <c r="N24" s="3302">
        <v>136.5</v>
      </c>
      <c r="O24" s="3302">
        <v>136.5</v>
      </c>
      <c r="P24" s="3302">
        <v>143.30000000000001</v>
      </c>
      <c r="Q24" s="3302">
        <v>143.30000000000001</v>
      </c>
      <c r="R24" s="3302">
        <v>150.5</v>
      </c>
      <c r="S24" s="3302">
        <v>150.5</v>
      </c>
      <c r="T24" s="3302">
        <v>52825.5</v>
      </c>
      <c r="U24" s="3302">
        <f>T24*6</f>
        <v>316953</v>
      </c>
      <c r="V24" s="3302"/>
      <c r="W24" s="3302">
        <v>1882.5</v>
      </c>
      <c r="X24" s="3302">
        <v>10</v>
      </c>
      <c r="Y24" s="3302"/>
      <c r="Z24" s="3302"/>
      <c r="AA24" s="3302">
        <v>10</v>
      </c>
    </row>
    <row r="25" spans="1:28" s="3297" customFormat="1">
      <c r="A25" s="3298">
        <v>22</v>
      </c>
      <c r="B25" s="3296" t="s">
        <v>3410</v>
      </c>
      <c r="C25" s="3292" t="s">
        <v>3331</v>
      </c>
      <c r="D25" s="3296" t="s">
        <v>3411</v>
      </c>
      <c r="E25" s="3296">
        <v>131</v>
      </c>
      <c r="F25" s="3296" t="s">
        <v>3333</v>
      </c>
      <c r="G25" s="3296" t="s">
        <v>3341</v>
      </c>
      <c r="H25" s="3296" t="s">
        <v>3335</v>
      </c>
      <c r="I25" s="3296" t="s">
        <v>3336</v>
      </c>
      <c r="J25" s="3296">
        <v>3</v>
      </c>
      <c r="K25" s="3292" t="s">
        <v>3337</v>
      </c>
      <c r="L25" s="3292">
        <v>230</v>
      </c>
      <c r="M25" s="3292">
        <v>240</v>
      </c>
      <c r="N25" s="3292">
        <v>250</v>
      </c>
      <c r="O25" s="3292" t="s">
        <v>3338</v>
      </c>
      <c r="P25" s="3292" t="s">
        <v>3338</v>
      </c>
      <c r="Q25" s="3292" t="s">
        <v>3338</v>
      </c>
      <c r="R25" s="3292" t="s">
        <v>3338</v>
      </c>
      <c r="S25" s="3292" t="s">
        <v>3338</v>
      </c>
      <c r="T25" s="3292">
        <f>E25*L25</f>
        <v>30130</v>
      </c>
      <c r="U25" s="3292">
        <f>T25*4</f>
        <v>120520</v>
      </c>
      <c r="V25" s="3292">
        <v>45</v>
      </c>
      <c r="W25" s="3292">
        <f>V25*E25</f>
        <v>5895</v>
      </c>
      <c r="X25" s="3292" t="s">
        <v>3353</v>
      </c>
      <c r="Y25" s="3292" t="s">
        <v>3338</v>
      </c>
      <c r="Z25" s="3292" t="s">
        <v>3338</v>
      </c>
      <c r="AA25" s="3292">
        <v>3</v>
      </c>
      <c r="AB25" s="3299"/>
    </row>
    <row r="26" spans="1:28" s="3303" customFormat="1">
      <c r="A26" s="3310">
        <v>23</v>
      </c>
      <c r="B26" s="3301" t="s">
        <v>3412</v>
      </c>
      <c r="C26" s="3302" t="s">
        <v>3413</v>
      </c>
      <c r="D26" s="3301" t="s">
        <v>3414</v>
      </c>
      <c r="E26" s="3301">
        <v>721.69</v>
      </c>
      <c r="F26" s="3301" t="s">
        <v>3415</v>
      </c>
      <c r="G26" s="3301" t="s">
        <v>3416</v>
      </c>
      <c r="H26" s="3301" t="s">
        <v>3417</v>
      </c>
      <c r="I26" s="3301" t="s">
        <v>3418</v>
      </c>
      <c r="J26" s="3301">
        <v>15</v>
      </c>
      <c r="K26" s="3302" t="s">
        <v>3337</v>
      </c>
      <c r="L26" s="3302">
        <v>120</v>
      </c>
      <c r="M26" s="3302">
        <v>120</v>
      </c>
      <c r="N26" s="3302">
        <v>120</v>
      </c>
      <c r="O26" s="3302">
        <v>120</v>
      </c>
      <c r="P26" s="3302">
        <v>126</v>
      </c>
      <c r="Q26" s="3302">
        <v>126</v>
      </c>
      <c r="R26" s="3302">
        <v>126</v>
      </c>
      <c r="S26" s="3302">
        <v>126</v>
      </c>
      <c r="T26" s="3302">
        <v>86602.8</v>
      </c>
      <c r="U26" s="3302">
        <f>T26*6</f>
        <v>519616.80000000005</v>
      </c>
      <c r="V26" s="3302">
        <v>15</v>
      </c>
      <c r="W26" s="3302">
        <v>10825.35</v>
      </c>
      <c r="X26" s="3302"/>
      <c r="Y26" s="3302"/>
      <c r="Z26" s="3302"/>
      <c r="AA26" s="3302"/>
      <c r="AB26" s="3311"/>
    </row>
    <row r="27" spans="1:28" s="3297" customFormat="1">
      <c r="A27" s="3298">
        <v>24</v>
      </c>
      <c r="B27" s="3296" t="s">
        <v>3419</v>
      </c>
      <c r="C27" s="3292" t="s">
        <v>3420</v>
      </c>
      <c r="D27" s="3296" t="s">
        <v>3421</v>
      </c>
      <c r="E27" s="3296">
        <v>68.25</v>
      </c>
      <c r="F27" s="3296" t="s">
        <v>3333</v>
      </c>
      <c r="G27" s="3296" t="s">
        <v>3422</v>
      </c>
      <c r="H27" s="3296" t="s">
        <v>3335</v>
      </c>
      <c r="I27" s="3296" t="s">
        <v>3336</v>
      </c>
      <c r="J27" s="3296">
        <v>3</v>
      </c>
      <c r="K27" s="3292" t="s">
        <v>3337</v>
      </c>
      <c r="L27" s="3292">
        <v>160</v>
      </c>
      <c r="M27" s="3292">
        <v>160</v>
      </c>
      <c r="N27" s="3292">
        <v>170</v>
      </c>
      <c r="O27" s="3292" t="s">
        <v>3338</v>
      </c>
      <c r="P27" s="3292" t="s">
        <v>3338</v>
      </c>
      <c r="Q27" s="3292" t="s">
        <v>3338</v>
      </c>
      <c r="R27" s="3292" t="s">
        <v>3338</v>
      </c>
      <c r="S27" s="3292" t="s">
        <v>3338</v>
      </c>
      <c r="T27" s="3292">
        <f t="shared" ref="T27:T33" si="5">E27*L27</f>
        <v>10920</v>
      </c>
      <c r="U27" s="3292">
        <f>T27*4</f>
        <v>43680</v>
      </c>
      <c r="V27" s="3292">
        <v>45</v>
      </c>
      <c r="W27" s="3292">
        <f t="shared" ref="W27:W37" si="6">V27*E27</f>
        <v>3071.25</v>
      </c>
      <c r="X27" s="3292" t="s">
        <v>3353</v>
      </c>
      <c r="Y27" s="3292" t="s">
        <v>3338</v>
      </c>
      <c r="Z27" s="3292" t="s">
        <v>3338</v>
      </c>
      <c r="AA27" s="3292">
        <v>3</v>
      </c>
      <c r="AB27" s="3299"/>
    </row>
    <row r="28" spans="1:28" s="3297" customFormat="1">
      <c r="A28" s="3295">
        <v>25</v>
      </c>
      <c r="B28" s="3296" t="s">
        <v>3423</v>
      </c>
      <c r="C28" s="3292" t="s">
        <v>3420</v>
      </c>
      <c r="D28" s="3296" t="s">
        <v>3424</v>
      </c>
      <c r="E28" s="3296">
        <v>105.95</v>
      </c>
      <c r="F28" s="3296" t="s">
        <v>3425</v>
      </c>
      <c r="G28" s="3296" t="s">
        <v>3426</v>
      </c>
      <c r="H28" s="3296" t="s">
        <v>3335</v>
      </c>
      <c r="I28" s="3296" t="s">
        <v>3336</v>
      </c>
      <c r="J28" s="3296">
        <v>3</v>
      </c>
      <c r="K28" s="3292" t="s">
        <v>3337</v>
      </c>
      <c r="L28" s="3292">
        <v>160</v>
      </c>
      <c r="M28" s="3292">
        <v>160</v>
      </c>
      <c r="N28" s="3292">
        <v>170</v>
      </c>
      <c r="O28" s="3292" t="s">
        <v>3338</v>
      </c>
      <c r="P28" s="3292" t="s">
        <v>3338</v>
      </c>
      <c r="Q28" s="3292" t="s">
        <v>3338</v>
      </c>
      <c r="R28" s="3292" t="s">
        <v>3338</v>
      </c>
      <c r="S28" s="3292" t="s">
        <v>3338</v>
      </c>
      <c r="T28" s="3292">
        <f t="shared" si="5"/>
        <v>16952</v>
      </c>
      <c r="U28" s="3292">
        <f t="shared" ref="U28:U31" si="7">T28*3</f>
        <v>50856</v>
      </c>
      <c r="V28" s="3292">
        <v>45</v>
      </c>
      <c r="W28" s="3292">
        <f t="shared" si="6"/>
        <v>4767.75</v>
      </c>
      <c r="X28" s="3292">
        <v>3</v>
      </c>
      <c r="Y28" s="3292" t="s">
        <v>3338</v>
      </c>
      <c r="Z28" s="3292" t="s">
        <v>3338</v>
      </c>
      <c r="AA28" s="3292">
        <v>3</v>
      </c>
      <c r="AB28" s="3299"/>
    </row>
    <row r="29" spans="1:28" s="3297" customFormat="1">
      <c r="A29" s="3298">
        <v>26</v>
      </c>
      <c r="B29" s="3296" t="s">
        <v>3427</v>
      </c>
      <c r="C29" s="3292" t="s">
        <v>3420</v>
      </c>
      <c r="D29" s="3296" t="s">
        <v>3428</v>
      </c>
      <c r="E29" s="3296">
        <v>99.03</v>
      </c>
      <c r="F29" s="3296" t="s">
        <v>3348</v>
      </c>
      <c r="G29" s="3296" t="s">
        <v>3429</v>
      </c>
      <c r="H29" s="3296" t="s">
        <v>3335</v>
      </c>
      <c r="I29" s="3296" t="s">
        <v>3336</v>
      </c>
      <c r="J29" s="3296">
        <v>3</v>
      </c>
      <c r="K29" s="3292" t="s">
        <v>3337</v>
      </c>
      <c r="L29" s="3292">
        <v>120</v>
      </c>
      <c r="M29" s="3292">
        <v>130</v>
      </c>
      <c r="N29" s="3292">
        <v>140</v>
      </c>
      <c r="O29" s="3292" t="s">
        <v>3338</v>
      </c>
      <c r="P29" s="3292" t="s">
        <v>3338</v>
      </c>
      <c r="Q29" s="3292" t="s">
        <v>3338</v>
      </c>
      <c r="R29" s="3292" t="s">
        <v>3338</v>
      </c>
      <c r="S29" s="3292" t="s">
        <v>3338</v>
      </c>
      <c r="T29" s="3292">
        <f t="shared" si="5"/>
        <v>11883.6</v>
      </c>
      <c r="U29" s="3292">
        <f t="shared" si="7"/>
        <v>35650.800000000003</v>
      </c>
      <c r="V29" s="3292">
        <v>45</v>
      </c>
      <c r="W29" s="3292">
        <f t="shared" si="6"/>
        <v>4456.3500000000004</v>
      </c>
      <c r="X29" s="3292">
        <v>3</v>
      </c>
      <c r="Y29" s="3292" t="s">
        <v>3338</v>
      </c>
      <c r="Z29" s="3292" t="s">
        <v>3338</v>
      </c>
      <c r="AA29" s="3292">
        <v>3</v>
      </c>
    </row>
    <row r="30" spans="1:28" s="3297" customFormat="1">
      <c r="A30" s="3295">
        <v>27</v>
      </c>
      <c r="B30" s="3296" t="s">
        <v>3430</v>
      </c>
      <c r="C30" s="3292" t="s">
        <v>3420</v>
      </c>
      <c r="D30" s="3296" t="s">
        <v>3431</v>
      </c>
      <c r="E30" s="3296">
        <v>102.46</v>
      </c>
      <c r="F30" s="3296" t="s">
        <v>3360</v>
      </c>
      <c r="G30" s="3296" t="s">
        <v>3432</v>
      </c>
      <c r="H30" s="3296" t="s">
        <v>3335</v>
      </c>
      <c r="I30" s="3296" t="s">
        <v>3336</v>
      </c>
      <c r="J30" s="3296">
        <v>3</v>
      </c>
      <c r="K30" s="3292" t="s">
        <v>3337</v>
      </c>
      <c r="L30" s="3292">
        <v>140</v>
      </c>
      <c r="M30" s="3292">
        <v>150</v>
      </c>
      <c r="N30" s="3292">
        <v>160</v>
      </c>
      <c r="O30" s="3292"/>
      <c r="P30" s="3292"/>
      <c r="Q30" s="3292"/>
      <c r="R30" s="3292"/>
      <c r="S30" s="3292"/>
      <c r="T30" s="3292">
        <f t="shared" si="5"/>
        <v>14344.4</v>
      </c>
      <c r="U30" s="3292"/>
      <c r="V30" s="3292">
        <v>45</v>
      </c>
      <c r="W30" s="3292">
        <f t="shared" si="6"/>
        <v>4610.7</v>
      </c>
      <c r="X30" s="3292">
        <v>6</v>
      </c>
      <c r="Y30" s="3292" t="s">
        <v>3338</v>
      </c>
      <c r="Z30" s="3292" t="s">
        <v>3338</v>
      </c>
      <c r="AA30" s="3292">
        <v>6</v>
      </c>
      <c r="AB30" s="3299"/>
    </row>
    <row r="31" spans="1:28" s="3297" customFormat="1">
      <c r="A31" s="3298">
        <v>28</v>
      </c>
      <c r="B31" s="3296" t="s">
        <v>3433</v>
      </c>
      <c r="C31" s="3292" t="s">
        <v>3420</v>
      </c>
      <c r="D31" s="3296" t="s">
        <v>3434</v>
      </c>
      <c r="E31" s="3296">
        <v>83.5</v>
      </c>
      <c r="F31" s="3296" t="s">
        <v>3360</v>
      </c>
      <c r="G31" s="3296" t="s">
        <v>3435</v>
      </c>
      <c r="H31" s="3296" t="s">
        <v>3335</v>
      </c>
      <c r="I31" s="3296" t="s">
        <v>3336</v>
      </c>
      <c r="J31" s="3296">
        <v>3</v>
      </c>
      <c r="K31" s="3292" t="s">
        <v>3337</v>
      </c>
      <c r="L31" s="3292">
        <v>150</v>
      </c>
      <c r="M31" s="3292">
        <v>155</v>
      </c>
      <c r="N31" s="3292">
        <v>160</v>
      </c>
      <c r="O31" s="3292" t="s">
        <v>3338</v>
      </c>
      <c r="P31" s="3292" t="s">
        <v>3338</v>
      </c>
      <c r="Q31" s="3292" t="s">
        <v>3338</v>
      </c>
      <c r="R31" s="3292" t="s">
        <v>3338</v>
      </c>
      <c r="S31" s="3292" t="s">
        <v>3338</v>
      </c>
      <c r="T31" s="3292">
        <f t="shared" si="5"/>
        <v>12525</v>
      </c>
      <c r="U31" s="3292">
        <f t="shared" si="7"/>
        <v>37575</v>
      </c>
      <c r="V31" s="3292">
        <v>45</v>
      </c>
      <c r="W31" s="3292">
        <f t="shared" si="6"/>
        <v>3757.5</v>
      </c>
      <c r="X31" s="3292">
        <v>3</v>
      </c>
      <c r="Y31" s="3292" t="s">
        <v>3338</v>
      </c>
      <c r="Z31" s="3292" t="s">
        <v>3338</v>
      </c>
      <c r="AA31" s="3292">
        <v>3</v>
      </c>
      <c r="AB31" s="3299"/>
    </row>
    <row r="32" spans="1:28" s="3297" customFormat="1">
      <c r="A32" s="3298">
        <v>29</v>
      </c>
      <c r="B32" s="3296" t="s">
        <v>3436</v>
      </c>
      <c r="C32" s="3292" t="s">
        <v>3420</v>
      </c>
      <c r="D32" s="3296" t="s">
        <v>3437</v>
      </c>
      <c r="E32" s="3296">
        <v>18.46</v>
      </c>
      <c r="F32" s="3296" t="s">
        <v>3438</v>
      </c>
      <c r="G32" s="3296" t="s">
        <v>3439</v>
      </c>
      <c r="H32" s="3296" t="s">
        <v>3335</v>
      </c>
      <c r="I32" s="3296" t="s">
        <v>3336</v>
      </c>
      <c r="J32" s="3296">
        <v>3</v>
      </c>
      <c r="K32" s="3292" t="s">
        <v>3337</v>
      </c>
      <c r="L32" s="3292">
        <v>134</v>
      </c>
      <c r="M32" s="3292">
        <v>138</v>
      </c>
      <c r="N32" s="3292">
        <v>142</v>
      </c>
      <c r="O32" s="3292" t="s">
        <v>3338</v>
      </c>
      <c r="P32" s="3292" t="s">
        <v>3338</v>
      </c>
      <c r="Q32" s="3292" t="s">
        <v>3338</v>
      </c>
      <c r="R32" s="3292" t="s">
        <v>3338</v>
      </c>
      <c r="S32" s="3292" t="s">
        <v>3338</v>
      </c>
      <c r="T32" s="3292">
        <f t="shared" si="5"/>
        <v>2473.6400000000003</v>
      </c>
      <c r="U32" s="3292">
        <f>T32*5</f>
        <v>12368.2</v>
      </c>
      <c r="V32" s="3292">
        <v>22</v>
      </c>
      <c r="W32" s="3292">
        <f t="shared" si="6"/>
        <v>406.12</v>
      </c>
      <c r="X32" s="3292">
        <v>1</v>
      </c>
      <c r="Y32" s="3292" t="s">
        <v>3338</v>
      </c>
      <c r="Z32" s="3292" t="s">
        <v>3338</v>
      </c>
      <c r="AA32" s="3292">
        <v>1</v>
      </c>
      <c r="AB32" s="3299"/>
    </row>
    <row r="33" spans="1:28" s="3297" customFormat="1">
      <c r="A33" s="3298">
        <v>30</v>
      </c>
      <c r="B33" s="3296" t="s">
        <v>3440</v>
      </c>
      <c r="C33" s="3292" t="s">
        <v>3420</v>
      </c>
      <c r="D33" s="3296" t="s">
        <v>3441</v>
      </c>
      <c r="E33" s="3312">
        <v>109.16</v>
      </c>
      <c r="F33" s="3296" t="s">
        <v>3442</v>
      </c>
      <c r="G33" s="3296" t="s">
        <v>3443</v>
      </c>
      <c r="H33" s="3296" t="s">
        <v>3335</v>
      </c>
      <c r="I33" s="3296" t="s">
        <v>3336</v>
      </c>
      <c r="J33" s="3296">
        <v>3</v>
      </c>
      <c r="K33" s="3292" t="s">
        <v>3337</v>
      </c>
      <c r="L33" s="3292">
        <v>140</v>
      </c>
      <c r="M33" s="3292">
        <v>140</v>
      </c>
      <c r="N33" s="3292">
        <v>152</v>
      </c>
      <c r="O33" s="3292" t="s">
        <v>3338</v>
      </c>
      <c r="P33" s="3292" t="s">
        <v>3338</v>
      </c>
      <c r="Q33" s="3292" t="s">
        <v>3338</v>
      </c>
      <c r="R33" s="3292" t="s">
        <v>3338</v>
      </c>
      <c r="S33" s="3292" t="s">
        <v>3338</v>
      </c>
      <c r="T33" s="3292">
        <f t="shared" si="5"/>
        <v>15282.4</v>
      </c>
      <c r="U33" s="3292">
        <f>T33*3</f>
        <v>45847.199999999997</v>
      </c>
      <c r="V33" s="3292">
        <v>22</v>
      </c>
      <c r="W33" s="3292">
        <f t="shared" si="6"/>
        <v>2401.52</v>
      </c>
      <c r="X33" s="3292">
        <v>3</v>
      </c>
      <c r="Y33" s="3292" t="s">
        <v>3338</v>
      </c>
      <c r="Z33" s="3292" t="s">
        <v>3338</v>
      </c>
      <c r="AA33" s="3292">
        <v>3</v>
      </c>
    </row>
    <row r="34" spans="1:28" s="3297" customFormat="1">
      <c r="A34" s="3313">
        <v>31</v>
      </c>
      <c r="B34" s="3305" t="s">
        <v>3444</v>
      </c>
      <c r="C34" s="3306" t="s">
        <v>3420</v>
      </c>
      <c r="D34" s="3305" t="s">
        <v>3445</v>
      </c>
      <c r="E34" s="3305">
        <v>105.86</v>
      </c>
      <c r="F34" s="3305" t="s">
        <v>3360</v>
      </c>
      <c r="G34" s="3305" t="s">
        <v>3446</v>
      </c>
      <c r="H34" s="3305" t="s">
        <v>3335</v>
      </c>
      <c r="I34" s="3305" t="s">
        <v>3336</v>
      </c>
      <c r="J34" s="3305">
        <v>3</v>
      </c>
      <c r="K34" s="3306" t="s">
        <v>3329</v>
      </c>
      <c r="L34" s="3307" t="s">
        <v>3447</v>
      </c>
      <c r="M34" s="3307" t="s">
        <v>3448</v>
      </c>
      <c r="N34" s="3307" t="s">
        <v>3449</v>
      </c>
      <c r="O34" s="3306" t="s">
        <v>3338</v>
      </c>
      <c r="P34" s="3306" t="s">
        <v>3338</v>
      </c>
      <c r="Q34" s="3306" t="s">
        <v>3338</v>
      </c>
      <c r="R34" s="3306" t="s">
        <v>3338</v>
      </c>
      <c r="S34" s="3306" t="s">
        <v>3338</v>
      </c>
      <c r="T34" s="3308">
        <v>11644.6</v>
      </c>
      <c r="U34" s="3306">
        <f>11644.6*3</f>
        <v>34933.800000000003</v>
      </c>
      <c r="V34" s="3306">
        <v>40</v>
      </c>
      <c r="W34" s="3306">
        <f t="shared" si="6"/>
        <v>4234.3999999999996</v>
      </c>
      <c r="X34" s="3306">
        <v>3</v>
      </c>
      <c r="Y34" s="3306" t="s">
        <v>3338</v>
      </c>
      <c r="Z34" s="3306" t="s">
        <v>3338</v>
      </c>
      <c r="AA34" s="3306">
        <v>3</v>
      </c>
    </row>
    <row r="35" spans="1:28" s="3297" customFormat="1">
      <c r="A35" s="3298">
        <v>32</v>
      </c>
      <c r="B35" s="3296" t="s">
        <v>3450</v>
      </c>
      <c r="C35" s="3292" t="s">
        <v>3420</v>
      </c>
      <c r="D35" s="3296" t="s">
        <v>3451</v>
      </c>
      <c r="E35" s="3296">
        <v>18.440000000000001</v>
      </c>
      <c r="F35" s="3296" t="s">
        <v>3438</v>
      </c>
      <c r="G35" s="3296" t="s">
        <v>3439</v>
      </c>
      <c r="H35" s="3296" t="s">
        <v>3335</v>
      </c>
      <c r="I35" s="3296" t="s">
        <v>3336</v>
      </c>
      <c r="J35" s="3296">
        <v>3</v>
      </c>
      <c r="K35" s="3292" t="s">
        <v>3337</v>
      </c>
      <c r="L35" s="3292">
        <v>134</v>
      </c>
      <c r="M35" s="3292">
        <v>138</v>
      </c>
      <c r="N35" s="3292">
        <v>142</v>
      </c>
      <c r="O35" s="3292" t="s">
        <v>3338</v>
      </c>
      <c r="P35" s="3292" t="s">
        <v>3338</v>
      </c>
      <c r="Q35" s="3292" t="s">
        <v>3338</v>
      </c>
      <c r="R35" s="3292" t="s">
        <v>3338</v>
      </c>
      <c r="S35" s="3292" t="s">
        <v>3338</v>
      </c>
      <c r="T35" s="3292">
        <f>E35*L35</f>
        <v>2470.96</v>
      </c>
      <c r="U35" s="3292">
        <f>T35*5</f>
        <v>12354.8</v>
      </c>
      <c r="V35" s="3292">
        <v>22</v>
      </c>
      <c r="W35" s="3292">
        <f t="shared" si="6"/>
        <v>405.68</v>
      </c>
      <c r="X35" s="3292">
        <v>1</v>
      </c>
      <c r="Y35" s="3292" t="s">
        <v>3338</v>
      </c>
      <c r="Z35" s="3292" t="s">
        <v>3338</v>
      </c>
      <c r="AA35" s="3292">
        <v>1</v>
      </c>
      <c r="AB35" s="3299"/>
    </row>
    <row r="36" spans="1:28" s="3297" customFormat="1">
      <c r="A36" s="3295">
        <v>33</v>
      </c>
      <c r="B36" s="3296" t="s">
        <v>3452</v>
      </c>
      <c r="C36" s="3292" t="s">
        <v>3420</v>
      </c>
      <c r="D36" s="3296" t="s">
        <v>3453</v>
      </c>
      <c r="E36" s="3296">
        <v>296.88</v>
      </c>
      <c r="F36" s="3296" t="s">
        <v>3348</v>
      </c>
      <c r="G36" s="3296" t="s">
        <v>3454</v>
      </c>
      <c r="H36" s="3296" t="s">
        <v>3335</v>
      </c>
      <c r="I36" s="3296" t="s">
        <v>3455</v>
      </c>
      <c r="J36" s="3296">
        <v>5</v>
      </c>
      <c r="K36" s="3292" t="s">
        <v>3337</v>
      </c>
      <c r="L36" s="3292">
        <v>135</v>
      </c>
      <c r="M36" s="3292">
        <v>135</v>
      </c>
      <c r="N36" s="3292">
        <v>140</v>
      </c>
      <c r="O36" s="3292">
        <v>140</v>
      </c>
      <c r="P36" s="3292">
        <v>145</v>
      </c>
      <c r="Q36" s="3292" t="s">
        <v>3338</v>
      </c>
      <c r="R36" s="3292" t="s">
        <v>3338</v>
      </c>
      <c r="S36" s="3292" t="s">
        <v>3338</v>
      </c>
      <c r="T36" s="3292">
        <f>E36*L36</f>
        <v>40078.800000000003</v>
      </c>
      <c r="U36" s="3292"/>
      <c r="V36" s="3292">
        <v>16</v>
      </c>
      <c r="W36" s="3292">
        <f t="shared" si="6"/>
        <v>4750.08</v>
      </c>
      <c r="X36" s="3292">
        <v>6</v>
      </c>
      <c r="Y36" s="3292">
        <v>6</v>
      </c>
      <c r="Z36" s="3292" t="s">
        <v>3338</v>
      </c>
      <c r="AA36" s="3292">
        <v>12</v>
      </c>
    </row>
    <row r="37" spans="1:28" s="3297" customFormat="1">
      <c r="A37" s="3298">
        <v>34</v>
      </c>
      <c r="B37" s="3296" t="s">
        <v>3456</v>
      </c>
      <c r="C37" s="3292" t="s">
        <v>3420</v>
      </c>
      <c r="D37" s="3296" t="s">
        <v>3457</v>
      </c>
      <c r="E37" s="3296">
        <v>264.55</v>
      </c>
      <c r="F37" s="3296" t="s">
        <v>3360</v>
      </c>
      <c r="G37" s="3296" t="s">
        <v>3443</v>
      </c>
      <c r="H37" s="3296" t="s">
        <v>3335</v>
      </c>
      <c r="I37" s="3296" t="s">
        <v>3336</v>
      </c>
      <c r="J37" s="3296">
        <v>3</v>
      </c>
      <c r="K37" s="3292" t="s">
        <v>3329</v>
      </c>
      <c r="L37" s="3292">
        <v>130</v>
      </c>
      <c r="M37" s="3292">
        <v>130</v>
      </c>
      <c r="N37" s="3292">
        <v>140</v>
      </c>
      <c r="O37" s="3292" t="s">
        <v>3338</v>
      </c>
      <c r="P37" s="3292" t="s">
        <v>3338</v>
      </c>
      <c r="Q37" s="3292" t="s">
        <v>3338</v>
      </c>
      <c r="R37" s="3292" t="s">
        <v>3338</v>
      </c>
      <c r="S37" s="3292" t="s">
        <v>3338</v>
      </c>
      <c r="T37" s="3292">
        <f>E37*L37</f>
        <v>34391.5</v>
      </c>
      <c r="U37" s="3314">
        <f>34391.5*3</f>
        <v>103174.5</v>
      </c>
      <c r="V37" s="3292">
        <v>22</v>
      </c>
      <c r="W37" s="3292">
        <f t="shared" si="6"/>
        <v>5820.1</v>
      </c>
      <c r="X37" s="3292">
        <v>3</v>
      </c>
      <c r="Y37" s="3292" t="s">
        <v>3338</v>
      </c>
      <c r="Z37" s="3292" t="s">
        <v>3338</v>
      </c>
      <c r="AA37" s="3292">
        <v>3</v>
      </c>
      <c r="AB37" s="3299"/>
    </row>
    <row r="38" spans="1:28" s="3319" customFormat="1">
      <c r="A38" s="3315">
        <v>35</v>
      </c>
      <c r="B38" s="3312" t="s">
        <v>3458</v>
      </c>
      <c r="C38" s="3316" t="s">
        <v>3420</v>
      </c>
      <c r="D38" s="3312" t="s">
        <v>3459</v>
      </c>
      <c r="E38" s="3312">
        <v>339.42</v>
      </c>
      <c r="F38" s="3312" t="s">
        <v>3360</v>
      </c>
      <c r="G38" s="3312" t="s">
        <v>3460</v>
      </c>
      <c r="H38" s="3312" t="s">
        <v>3335</v>
      </c>
      <c r="I38" s="3312" t="s">
        <v>3455</v>
      </c>
      <c r="J38" s="3312">
        <v>5</v>
      </c>
      <c r="K38" s="3316" t="s">
        <v>3329</v>
      </c>
      <c r="L38" s="3317">
        <v>0.08</v>
      </c>
      <c r="M38" s="3317">
        <v>0.08</v>
      </c>
      <c r="N38" s="3317">
        <v>0.1</v>
      </c>
      <c r="O38" s="3316">
        <v>140</v>
      </c>
      <c r="P38" s="3316">
        <v>150</v>
      </c>
      <c r="Q38" s="3316" t="s">
        <v>3338</v>
      </c>
      <c r="R38" s="3316" t="s">
        <v>3338</v>
      </c>
      <c r="S38" s="3316" t="s">
        <v>3338</v>
      </c>
      <c r="T38" s="3292">
        <f>E38*130</f>
        <v>44124.6</v>
      </c>
      <c r="U38" s="3318">
        <v>132373.79999999999</v>
      </c>
      <c r="V38" s="3316" t="s">
        <v>3338</v>
      </c>
      <c r="W38" s="3316" t="s">
        <v>3461</v>
      </c>
      <c r="X38" s="3316">
        <v>3</v>
      </c>
      <c r="Y38" s="3316" t="s">
        <v>3338</v>
      </c>
      <c r="Z38" s="3316" t="s">
        <v>3338</v>
      </c>
      <c r="AA38" s="3316">
        <v>3</v>
      </c>
    </row>
    <row r="39" spans="1:28" s="3297" customFormat="1">
      <c r="A39" s="3298">
        <v>36</v>
      </c>
      <c r="B39" s="3296" t="s">
        <v>3462</v>
      </c>
      <c r="C39" s="3292" t="s">
        <v>3420</v>
      </c>
      <c r="D39" s="3296" t="s">
        <v>3463</v>
      </c>
      <c r="E39" s="3296">
        <v>362.2</v>
      </c>
      <c r="F39" s="3296" t="s">
        <v>3464</v>
      </c>
      <c r="G39" s="3296" t="s">
        <v>3465</v>
      </c>
      <c r="H39" s="3296" t="s">
        <v>3335</v>
      </c>
      <c r="I39" s="3296" t="s">
        <v>3466</v>
      </c>
      <c r="J39" s="3296">
        <v>2</v>
      </c>
      <c r="K39" s="3292" t="s">
        <v>3337</v>
      </c>
      <c r="L39" s="3309">
        <v>125</v>
      </c>
      <c r="M39" s="3309">
        <v>130</v>
      </c>
      <c r="N39" s="3309">
        <v>135</v>
      </c>
      <c r="O39" s="3292"/>
      <c r="P39" s="3292"/>
      <c r="Q39" s="3292"/>
      <c r="R39" s="3292"/>
      <c r="S39" s="3292"/>
      <c r="T39" s="3309">
        <f t="shared" ref="T39:T64" si="8">E39*L39</f>
        <v>45275</v>
      </c>
      <c r="U39" s="3309">
        <f t="shared" ref="U39:U49" si="9">T39*3</f>
        <v>135825</v>
      </c>
      <c r="V39" s="3292">
        <v>22</v>
      </c>
      <c r="W39" s="3292">
        <f>E39*V39</f>
        <v>7968.4</v>
      </c>
      <c r="X39" s="3292">
        <v>3</v>
      </c>
      <c r="Y39" s="3292" t="s">
        <v>3338</v>
      </c>
      <c r="Z39" s="3292" t="s">
        <v>3338</v>
      </c>
      <c r="AA39" s="3292">
        <v>3</v>
      </c>
    </row>
    <row r="40" spans="1:28" s="3297" customFormat="1">
      <c r="A40" s="3298">
        <v>37</v>
      </c>
      <c r="B40" s="3296" t="s">
        <v>3467</v>
      </c>
      <c r="C40" s="3292" t="s">
        <v>3420</v>
      </c>
      <c r="D40" s="3296" t="s">
        <v>3468</v>
      </c>
      <c r="E40" s="3296">
        <v>94.78</v>
      </c>
      <c r="F40" s="3296" t="s">
        <v>3360</v>
      </c>
      <c r="G40" s="3296" t="s">
        <v>3469</v>
      </c>
      <c r="H40" s="3296" t="s">
        <v>3335</v>
      </c>
      <c r="I40" s="3296" t="s">
        <v>3336</v>
      </c>
      <c r="J40" s="3296">
        <v>3</v>
      </c>
      <c r="K40" s="3292" t="s">
        <v>3337</v>
      </c>
      <c r="L40" s="3292">
        <v>130</v>
      </c>
      <c r="M40" s="3292">
        <v>130</v>
      </c>
      <c r="N40" s="3292">
        <v>135</v>
      </c>
      <c r="O40" s="3292"/>
      <c r="P40" s="3292"/>
      <c r="Q40" s="3292"/>
      <c r="R40" s="3292"/>
      <c r="S40" s="3292"/>
      <c r="T40" s="3309">
        <f t="shared" si="8"/>
        <v>12321.4</v>
      </c>
      <c r="U40" s="3309"/>
      <c r="V40" s="3292">
        <v>40</v>
      </c>
      <c r="W40" s="3292">
        <v>3791.2</v>
      </c>
      <c r="X40" s="3292">
        <v>6</v>
      </c>
      <c r="Y40" s="3292">
        <v>2</v>
      </c>
      <c r="Z40" s="3292" t="s">
        <v>3338</v>
      </c>
      <c r="AA40" s="3292">
        <v>8</v>
      </c>
      <c r="AB40" s="3299"/>
    </row>
    <row r="41" spans="1:28" s="3297" customFormat="1">
      <c r="A41" s="3298">
        <v>38</v>
      </c>
      <c r="B41" s="3296" t="s">
        <v>3470</v>
      </c>
      <c r="C41" s="3292" t="s">
        <v>3420</v>
      </c>
      <c r="D41" s="3296" t="s">
        <v>3471</v>
      </c>
      <c r="E41" s="3296">
        <v>31.74</v>
      </c>
      <c r="F41" s="3296" t="s">
        <v>3333</v>
      </c>
      <c r="G41" s="3296" t="s">
        <v>3472</v>
      </c>
      <c r="H41" s="3296" t="s">
        <v>3335</v>
      </c>
      <c r="I41" s="3296" t="s">
        <v>3336</v>
      </c>
      <c r="J41" s="3296">
        <v>3</v>
      </c>
      <c r="K41" s="3292" t="s">
        <v>3337</v>
      </c>
      <c r="L41" s="3292">
        <v>140</v>
      </c>
      <c r="M41" s="3292">
        <v>145</v>
      </c>
      <c r="N41" s="3292">
        <v>150</v>
      </c>
      <c r="O41" s="3292" t="s">
        <v>3338</v>
      </c>
      <c r="P41" s="3292" t="s">
        <v>3338</v>
      </c>
      <c r="Q41" s="3292" t="s">
        <v>3338</v>
      </c>
      <c r="R41" s="3292" t="s">
        <v>3338</v>
      </c>
      <c r="S41" s="3292" t="s">
        <v>3338</v>
      </c>
      <c r="T41" s="3292">
        <f t="shared" si="8"/>
        <v>4443.5999999999995</v>
      </c>
      <c r="U41" s="3292">
        <f t="shared" si="9"/>
        <v>13330.8</v>
      </c>
      <c r="V41" s="3292">
        <v>45</v>
      </c>
      <c r="W41" s="3292">
        <f>V41*E41</f>
        <v>1428.3</v>
      </c>
      <c r="X41" s="3292">
        <v>3</v>
      </c>
      <c r="Y41" s="3292" t="s">
        <v>3338</v>
      </c>
      <c r="Z41" s="3292" t="s">
        <v>3338</v>
      </c>
      <c r="AA41" s="3292">
        <v>3</v>
      </c>
      <c r="AB41" s="3299"/>
    </row>
    <row r="42" spans="1:28" s="3297" customFormat="1">
      <c r="A42" s="3295">
        <v>39</v>
      </c>
      <c r="B42" s="3296" t="s">
        <v>3473</v>
      </c>
      <c r="C42" s="3292" t="s">
        <v>3420</v>
      </c>
      <c r="D42" s="3296" t="s">
        <v>3474</v>
      </c>
      <c r="E42" s="3296">
        <v>70.62</v>
      </c>
      <c r="F42" s="3296" t="s">
        <v>3360</v>
      </c>
      <c r="G42" s="3296" t="s">
        <v>3475</v>
      </c>
      <c r="H42" s="3296" t="s">
        <v>3335</v>
      </c>
      <c r="I42" s="3296" t="s">
        <v>3336</v>
      </c>
      <c r="J42" s="3296">
        <v>3</v>
      </c>
      <c r="K42" s="3292" t="s">
        <v>3337</v>
      </c>
      <c r="L42" s="3292">
        <v>150</v>
      </c>
      <c r="M42" s="3292">
        <v>150</v>
      </c>
      <c r="N42" s="3292">
        <v>155</v>
      </c>
      <c r="O42" s="3292"/>
      <c r="P42" s="3292"/>
      <c r="Q42" s="3292"/>
      <c r="R42" s="3292"/>
      <c r="S42" s="3292"/>
      <c r="T42" s="3292">
        <f t="shared" si="8"/>
        <v>10593</v>
      </c>
      <c r="U42" s="3292">
        <f t="shared" si="9"/>
        <v>31779</v>
      </c>
      <c r="V42" s="3292">
        <v>45</v>
      </c>
      <c r="W42" s="3292">
        <v>3177.9</v>
      </c>
      <c r="X42" s="3292">
        <v>3</v>
      </c>
      <c r="Y42" s="3292" t="s">
        <v>3338</v>
      </c>
      <c r="Z42" s="3292" t="s">
        <v>3338</v>
      </c>
      <c r="AA42" s="3292">
        <v>3</v>
      </c>
      <c r="AB42" s="3299"/>
    </row>
    <row r="43" spans="1:28" s="3297" customFormat="1">
      <c r="A43" s="3295">
        <v>40</v>
      </c>
      <c r="B43" s="3296" t="s">
        <v>3476</v>
      </c>
      <c r="C43" s="3292" t="s">
        <v>3420</v>
      </c>
      <c r="D43" s="3296" t="s">
        <v>3477</v>
      </c>
      <c r="E43" s="3296">
        <v>72.67</v>
      </c>
      <c r="F43" s="3296" t="s">
        <v>3478</v>
      </c>
      <c r="G43" s="3296" t="s">
        <v>3479</v>
      </c>
      <c r="H43" s="3296" t="s">
        <v>3335</v>
      </c>
      <c r="I43" s="3296" t="s">
        <v>3336</v>
      </c>
      <c r="J43" s="3296">
        <v>3</v>
      </c>
      <c r="K43" s="3292" t="s">
        <v>3337</v>
      </c>
      <c r="L43" s="3292">
        <v>145</v>
      </c>
      <c r="M43" s="3292">
        <v>150</v>
      </c>
      <c r="N43" s="3292">
        <v>155</v>
      </c>
      <c r="O43" s="3292" t="s">
        <v>3338</v>
      </c>
      <c r="P43" s="3292" t="s">
        <v>3338</v>
      </c>
      <c r="Q43" s="3292" t="s">
        <v>3338</v>
      </c>
      <c r="R43" s="3292" t="s">
        <v>3338</v>
      </c>
      <c r="S43" s="3292" t="s">
        <v>3338</v>
      </c>
      <c r="T43" s="3292">
        <f t="shared" si="8"/>
        <v>10537.15</v>
      </c>
      <c r="U43" s="3292">
        <f t="shared" si="9"/>
        <v>31611.449999999997</v>
      </c>
      <c r="V43" s="3292">
        <v>40</v>
      </c>
      <c r="W43" s="3292">
        <f t="shared" ref="W43:W50" si="10">V43*E43</f>
        <v>2906.8</v>
      </c>
      <c r="X43" s="3292">
        <v>3</v>
      </c>
      <c r="Y43" s="3292">
        <v>3</v>
      </c>
      <c r="Z43" s="3292" t="s">
        <v>3338</v>
      </c>
      <c r="AA43" s="3292">
        <v>6</v>
      </c>
    </row>
    <row r="44" spans="1:28" s="3297" customFormat="1">
      <c r="A44" s="3295">
        <v>41</v>
      </c>
      <c r="B44" s="3296" t="s">
        <v>3480</v>
      </c>
      <c r="C44" s="3292" t="s">
        <v>3420</v>
      </c>
      <c r="D44" s="3296" t="s">
        <v>3481</v>
      </c>
      <c r="E44" s="3296">
        <v>98.25</v>
      </c>
      <c r="F44" s="3296" t="s">
        <v>3348</v>
      </c>
      <c r="G44" s="3296" t="s">
        <v>3482</v>
      </c>
      <c r="H44" s="3296" t="s">
        <v>3335</v>
      </c>
      <c r="I44" s="3296" t="s">
        <v>3336</v>
      </c>
      <c r="J44" s="3296">
        <v>3</v>
      </c>
      <c r="K44" s="3292" t="s">
        <v>3337</v>
      </c>
      <c r="L44" s="3292">
        <v>155</v>
      </c>
      <c r="M44" s="3292">
        <v>160</v>
      </c>
      <c r="N44" s="3292">
        <v>163</v>
      </c>
      <c r="O44" s="3292" t="s">
        <v>3338</v>
      </c>
      <c r="P44" s="3292" t="s">
        <v>3338</v>
      </c>
      <c r="Q44" s="3292" t="s">
        <v>3338</v>
      </c>
      <c r="R44" s="3292" t="s">
        <v>3338</v>
      </c>
      <c r="S44" s="3292" t="s">
        <v>3338</v>
      </c>
      <c r="T44" s="3292">
        <f t="shared" si="8"/>
        <v>15228.75</v>
      </c>
      <c r="U44" s="3292">
        <f t="shared" si="9"/>
        <v>45686.25</v>
      </c>
      <c r="V44" s="3292">
        <v>45</v>
      </c>
      <c r="W44" s="3292">
        <f t="shared" si="10"/>
        <v>4421.25</v>
      </c>
      <c r="X44" s="3292">
        <v>3</v>
      </c>
      <c r="Y44" s="3292" t="s">
        <v>3338</v>
      </c>
      <c r="Z44" s="3292" t="s">
        <v>3338</v>
      </c>
      <c r="AA44" s="3292">
        <v>3</v>
      </c>
      <c r="AB44" s="3299"/>
    </row>
    <row r="45" spans="1:28" s="3324" customFormat="1">
      <c r="A45" s="3320">
        <v>42</v>
      </c>
      <c r="B45" s="3321" t="s">
        <v>3483</v>
      </c>
      <c r="C45" s="3322" t="s">
        <v>3420</v>
      </c>
      <c r="D45" s="3321" t="s">
        <v>3484</v>
      </c>
      <c r="E45" s="3321">
        <v>103.4</v>
      </c>
      <c r="F45" s="3321" t="s">
        <v>3348</v>
      </c>
      <c r="G45" s="3321" t="s">
        <v>3485</v>
      </c>
      <c r="H45" s="3321" t="s">
        <v>3335</v>
      </c>
      <c r="I45" s="3321" t="s">
        <v>3336</v>
      </c>
      <c r="J45" s="3321">
        <v>3</v>
      </c>
      <c r="K45" s="3322" t="s">
        <v>3337</v>
      </c>
      <c r="L45" s="3322">
        <v>150</v>
      </c>
      <c r="M45" s="3322">
        <v>153</v>
      </c>
      <c r="N45" s="3322">
        <v>156</v>
      </c>
      <c r="O45" s="3322" t="s">
        <v>3338</v>
      </c>
      <c r="P45" s="3322" t="s">
        <v>3338</v>
      </c>
      <c r="Q45" s="3322" t="s">
        <v>3338</v>
      </c>
      <c r="R45" s="3322" t="s">
        <v>3338</v>
      </c>
      <c r="S45" s="3322" t="s">
        <v>3338</v>
      </c>
      <c r="T45" s="3322">
        <f t="shared" si="8"/>
        <v>15510</v>
      </c>
      <c r="U45" s="3322">
        <f t="shared" si="9"/>
        <v>46530</v>
      </c>
      <c r="V45" s="3292">
        <v>45</v>
      </c>
      <c r="W45" s="3322">
        <f t="shared" si="10"/>
        <v>4653</v>
      </c>
      <c r="X45" s="3322">
        <v>3</v>
      </c>
      <c r="Y45" s="3322" t="s">
        <v>3338</v>
      </c>
      <c r="Z45" s="3322" t="s">
        <v>3338</v>
      </c>
      <c r="AA45" s="3322">
        <v>3</v>
      </c>
      <c r="AB45" s="3323"/>
    </row>
    <row r="46" spans="1:28" s="3297" customFormat="1">
      <c r="A46" s="3295">
        <v>43</v>
      </c>
      <c r="B46" s="3296" t="s">
        <v>3486</v>
      </c>
      <c r="C46" s="3292" t="s">
        <v>3420</v>
      </c>
      <c r="D46" s="3296" t="s">
        <v>3487</v>
      </c>
      <c r="E46" s="3296">
        <v>97.14</v>
      </c>
      <c r="F46" s="3296" t="s">
        <v>3348</v>
      </c>
      <c r="G46" s="3296" t="s">
        <v>3488</v>
      </c>
      <c r="H46" s="3296" t="s">
        <v>3335</v>
      </c>
      <c r="I46" s="3296" t="s">
        <v>3336</v>
      </c>
      <c r="J46" s="3296">
        <v>3</v>
      </c>
      <c r="K46" s="3292" t="s">
        <v>3337</v>
      </c>
      <c r="L46" s="3292">
        <v>145</v>
      </c>
      <c r="M46" s="3292">
        <v>150</v>
      </c>
      <c r="N46" s="3292">
        <v>155</v>
      </c>
      <c r="O46" s="3292" t="s">
        <v>3338</v>
      </c>
      <c r="P46" s="3292" t="s">
        <v>3338</v>
      </c>
      <c r="Q46" s="3292" t="s">
        <v>3338</v>
      </c>
      <c r="R46" s="3292" t="s">
        <v>3338</v>
      </c>
      <c r="S46" s="3292" t="s">
        <v>3338</v>
      </c>
      <c r="T46" s="3292">
        <f t="shared" si="8"/>
        <v>14085.3</v>
      </c>
      <c r="U46" s="3292">
        <f t="shared" si="9"/>
        <v>42255.899999999994</v>
      </c>
      <c r="V46" s="3292">
        <v>45</v>
      </c>
      <c r="W46" s="3292">
        <f t="shared" si="10"/>
        <v>4371.3</v>
      </c>
      <c r="X46" s="3292">
        <v>3</v>
      </c>
      <c r="Y46" s="3292">
        <v>3</v>
      </c>
      <c r="Z46" s="3292" t="s">
        <v>3338</v>
      </c>
      <c r="AA46" s="3292">
        <v>6</v>
      </c>
      <c r="AB46" s="3299"/>
    </row>
    <row r="47" spans="1:28" s="3324" customFormat="1">
      <c r="A47" s="3320">
        <v>44</v>
      </c>
      <c r="B47" s="3321" t="s">
        <v>3489</v>
      </c>
      <c r="C47" s="3322" t="s">
        <v>3420</v>
      </c>
      <c r="D47" s="3321" t="s">
        <v>3490</v>
      </c>
      <c r="E47" s="3321">
        <v>102.21</v>
      </c>
      <c r="F47" s="3321" t="s">
        <v>3348</v>
      </c>
      <c r="G47" s="3321" t="s">
        <v>3491</v>
      </c>
      <c r="H47" s="3321" t="s">
        <v>3335</v>
      </c>
      <c r="I47" s="3321" t="s">
        <v>3336</v>
      </c>
      <c r="J47" s="3321">
        <v>3</v>
      </c>
      <c r="K47" s="3322" t="s">
        <v>3337</v>
      </c>
      <c r="L47" s="3322">
        <v>140</v>
      </c>
      <c r="M47" s="3322">
        <v>150</v>
      </c>
      <c r="N47" s="3322">
        <v>155</v>
      </c>
      <c r="O47" s="3322" t="s">
        <v>3338</v>
      </c>
      <c r="P47" s="3322" t="s">
        <v>3338</v>
      </c>
      <c r="Q47" s="3322" t="s">
        <v>3338</v>
      </c>
      <c r="R47" s="3322" t="s">
        <v>3338</v>
      </c>
      <c r="S47" s="3322" t="s">
        <v>3338</v>
      </c>
      <c r="T47" s="3322">
        <f t="shared" si="8"/>
        <v>14309.4</v>
      </c>
      <c r="U47" s="3322">
        <f t="shared" si="9"/>
        <v>42928.2</v>
      </c>
      <c r="V47" s="3292">
        <v>45</v>
      </c>
      <c r="W47" s="3322">
        <f t="shared" si="10"/>
        <v>4599.45</v>
      </c>
      <c r="X47" s="3322">
        <v>3</v>
      </c>
      <c r="Y47" s="3322" t="s">
        <v>3338</v>
      </c>
      <c r="Z47" s="3322" t="s">
        <v>3338</v>
      </c>
      <c r="AA47" s="3322">
        <v>3</v>
      </c>
    </row>
    <row r="48" spans="1:28" s="3297" customFormat="1">
      <c r="A48" s="3295">
        <v>45</v>
      </c>
      <c r="B48" s="3296" t="s">
        <v>3492</v>
      </c>
      <c r="C48" s="3292" t="s">
        <v>3420</v>
      </c>
      <c r="D48" s="3296" t="s">
        <v>3493</v>
      </c>
      <c r="E48" s="3296">
        <v>109.64</v>
      </c>
      <c r="F48" s="3296" t="s">
        <v>3348</v>
      </c>
      <c r="G48" s="3296" t="s">
        <v>3494</v>
      </c>
      <c r="H48" s="3296" t="s">
        <v>3335</v>
      </c>
      <c r="I48" s="3296" t="s">
        <v>3336</v>
      </c>
      <c r="J48" s="3296">
        <v>3</v>
      </c>
      <c r="K48" s="3292" t="s">
        <v>3337</v>
      </c>
      <c r="L48" s="3292">
        <v>130</v>
      </c>
      <c r="M48" s="3292">
        <v>135</v>
      </c>
      <c r="N48" s="3292">
        <v>140</v>
      </c>
      <c r="O48" s="3292" t="s">
        <v>3338</v>
      </c>
      <c r="P48" s="3292" t="s">
        <v>3338</v>
      </c>
      <c r="Q48" s="3292" t="s">
        <v>3338</v>
      </c>
      <c r="R48" s="3292" t="s">
        <v>3338</v>
      </c>
      <c r="S48" s="3292" t="s">
        <v>3338</v>
      </c>
      <c r="T48" s="3292">
        <f t="shared" si="8"/>
        <v>14253.2</v>
      </c>
      <c r="U48" s="3292">
        <f t="shared" si="9"/>
        <v>42759.600000000006</v>
      </c>
      <c r="V48" s="3292">
        <v>45</v>
      </c>
      <c r="W48" s="3292">
        <f t="shared" si="10"/>
        <v>4933.8</v>
      </c>
      <c r="X48" s="3292">
        <v>3</v>
      </c>
      <c r="Y48" s="3292" t="s">
        <v>3338</v>
      </c>
      <c r="Z48" s="3292" t="s">
        <v>3338</v>
      </c>
      <c r="AA48" s="3292">
        <v>3</v>
      </c>
      <c r="AB48" s="3299"/>
    </row>
    <row r="49" spans="1:28" s="3324" customFormat="1">
      <c r="A49" s="3320">
        <v>46</v>
      </c>
      <c r="B49" s="3321" t="s">
        <v>3495</v>
      </c>
      <c r="C49" s="3322" t="s">
        <v>3420</v>
      </c>
      <c r="D49" s="3321" t="s">
        <v>3496</v>
      </c>
      <c r="E49" s="3321">
        <v>113.46</v>
      </c>
      <c r="F49" s="3321" t="s">
        <v>3348</v>
      </c>
      <c r="G49" s="3321" t="s">
        <v>3497</v>
      </c>
      <c r="H49" s="3321" t="s">
        <v>3335</v>
      </c>
      <c r="I49" s="3321" t="s">
        <v>3336</v>
      </c>
      <c r="J49" s="3321">
        <v>3</v>
      </c>
      <c r="K49" s="3322" t="s">
        <v>3337</v>
      </c>
      <c r="L49" s="3322">
        <v>130</v>
      </c>
      <c r="M49" s="3322">
        <v>135</v>
      </c>
      <c r="N49" s="3322">
        <v>140</v>
      </c>
      <c r="O49" s="3322" t="s">
        <v>3338</v>
      </c>
      <c r="P49" s="3322" t="s">
        <v>3338</v>
      </c>
      <c r="Q49" s="3322" t="s">
        <v>3338</v>
      </c>
      <c r="R49" s="3322" t="s">
        <v>3338</v>
      </c>
      <c r="S49" s="3322" t="s">
        <v>3338</v>
      </c>
      <c r="T49" s="3322">
        <f t="shared" si="8"/>
        <v>14749.8</v>
      </c>
      <c r="U49" s="3322">
        <f t="shared" si="9"/>
        <v>44249.399999999994</v>
      </c>
      <c r="V49" s="3292">
        <v>45</v>
      </c>
      <c r="W49" s="3322">
        <f t="shared" si="10"/>
        <v>5105.7</v>
      </c>
      <c r="X49" s="3322">
        <v>3</v>
      </c>
      <c r="Y49" s="3322" t="s">
        <v>3338</v>
      </c>
      <c r="Z49" s="3322" t="s">
        <v>3338</v>
      </c>
      <c r="AA49" s="3322">
        <v>3</v>
      </c>
    </row>
    <row r="50" spans="1:28" s="3297" customFormat="1">
      <c r="A50" s="3295">
        <v>47</v>
      </c>
      <c r="B50" s="3296" t="s">
        <v>3498</v>
      </c>
      <c r="C50" s="3292" t="s">
        <v>3420</v>
      </c>
      <c r="D50" s="3296" t="s">
        <v>3499</v>
      </c>
      <c r="E50" s="3296">
        <v>236.51</v>
      </c>
      <c r="F50" s="3296" t="s">
        <v>3348</v>
      </c>
      <c r="G50" s="3296" t="s">
        <v>3454</v>
      </c>
      <c r="H50" s="3296" t="s">
        <v>3335</v>
      </c>
      <c r="I50" s="3296" t="s">
        <v>3455</v>
      </c>
      <c r="J50" s="3296">
        <v>5</v>
      </c>
      <c r="K50" s="3292" t="s">
        <v>3337</v>
      </c>
      <c r="L50" s="3292">
        <v>140</v>
      </c>
      <c r="M50" s="3292">
        <v>140</v>
      </c>
      <c r="N50" s="3292">
        <v>143</v>
      </c>
      <c r="O50" s="3292">
        <v>143</v>
      </c>
      <c r="P50" s="3292">
        <v>146</v>
      </c>
      <c r="Q50" s="3292" t="s">
        <v>3338</v>
      </c>
      <c r="R50" s="3292" t="s">
        <v>3338</v>
      </c>
      <c r="S50" s="3292" t="s">
        <v>3338</v>
      </c>
      <c r="T50" s="3292">
        <f t="shared" si="8"/>
        <v>33111.4</v>
      </c>
      <c r="U50" s="3292"/>
      <c r="V50" s="3292">
        <v>35</v>
      </c>
      <c r="W50" s="3292">
        <f t="shared" si="10"/>
        <v>8277.85</v>
      </c>
      <c r="X50" s="3292">
        <v>6</v>
      </c>
      <c r="Y50" s="3292">
        <v>6</v>
      </c>
      <c r="Z50" s="3292" t="s">
        <v>3338</v>
      </c>
      <c r="AA50" s="3292">
        <v>12</v>
      </c>
    </row>
    <row r="51" spans="1:28" s="3297" customFormat="1">
      <c r="A51" s="3298">
        <v>48</v>
      </c>
      <c r="B51" s="3296" t="s">
        <v>3500</v>
      </c>
      <c r="C51" s="3292" t="s">
        <v>3420</v>
      </c>
      <c r="D51" s="3296" t="s">
        <v>3501</v>
      </c>
      <c r="E51" s="3296">
        <v>70.91</v>
      </c>
      <c r="F51" s="3296" t="s">
        <v>3360</v>
      </c>
      <c r="G51" s="3296" t="s">
        <v>3502</v>
      </c>
      <c r="H51" s="3296" t="s">
        <v>3335</v>
      </c>
      <c r="I51" s="3296" t="s">
        <v>3336</v>
      </c>
      <c r="J51" s="3296">
        <v>3</v>
      </c>
      <c r="K51" s="3292" t="s">
        <v>3337</v>
      </c>
      <c r="L51" s="3292">
        <v>120</v>
      </c>
      <c r="M51" s="3292">
        <v>150</v>
      </c>
      <c r="N51" s="3292">
        <v>155</v>
      </c>
      <c r="O51" s="3292"/>
      <c r="P51" s="3292"/>
      <c r="Q51" s="3292"/>
      <c r="R51" s="3292"/>
      <c r="S51" s="3292"/>
      <c r="T51" s="3292">
        <f t="shared" si="8"/>
        <v>8509.1999999999989</v>
      </c>
      <c r="U51" s="3292"/>
      <c r="V51" s="3292">
        <v>45</v>
      </c>
      <c r="W51" s="3292">
        <f>E51*V51</f>
        <v>3190.95</v>
      </c>
      <c r="X51" s="3292">
        <v>9</v>
      </c>
      <c r="Y51" s="3292" t="s">
        <v>3338</v>
      </c>
      <c r="Z51" s="3292" t="s">
        <v>3338</v>
      </c>
      <c r="AA51" s="3292">
        <v>9</v>
      </c>
    </row>
    <row r="52" spans="1:28" s="3297" customFormat="1">
      <c r="A52" s="3295">
        <v>49</v>
      </c>
      <c r="B52" s="3296" t="s">
        <v>3503</v>
      </c>
      <c r="C52" s="3292" t="s">
        <v>3420</v>
      </c>
      <c r="D52" s="3296" t="s">
        <v>3504</v>
      </c>
      <c r="E52" s="3296">
        <v>814.05</v>
      </c>
      <c r="F52" s="3296" t="s">
        <v>3380</v>
      </c>
      <c r="G52" s="3296" t="s">
        <v>3505</v>
      </c>
      <c r="H52" s="3296" t="s">
        <v>3335</v>
      </c>
      <c r="I52" s="3296" t="s">
        <v>3455</v>
      </c>
      <c r="J52" s="3296">
        <v>6</v>
      </c>
      <c r="K52" s="3292" t="s">
        <v>3337</v>
      </c>
      <c r="L52" s="3292">
        <v>110</v>
      </c>
      <c r="M52" s="3292">
        <v>110</v>
      </c>
      <c r="N52" s="3292">
        <v>115</v>
      </c>
      <c r="O52" s="3292">
        <v>115</v>
      </c>
      <c r="P52" s="3292">
        <v>120</v>
      </c>
      <c r="Q52" s="3292" t="s">
        <v>3338</v>
      </c>
      <c r="R52" s="3292" t="s">
        <v>3338</v>
      </c>
      <c r="S52" s="3292" t="s">
        <v>3338</v>
      </c>
      <c r="T52" s="3292">
        <f t="shared" si="8"/>
        <v>89545.5</v>
      </c>
      <c r="U52" s="3292"/>
      <c r="V52" s="3292">
        <v>15</v>
      </c>
      <c r="W52" s="3292">
        <f t="shared" ref="W52:W64" si="11">V52*E52</f>
        <v>12210.75</v>
      </c>
      <c r="X52" s="3292">
        <v>8</v>
      </c>
      <c r="Y52" s="3292">
        <v>4</v>
      </c>
      <c r="Z52" s="3292" t="s">
        <v>3338</v>
      </c>
      <c r="AA52" s="3292">
        <v>12</v>
      </c>
    </row>
    <row r="53" spans="1:28" s="3297" customFormat="1">
      <c r="A53" s="3298">
        <v>50</v>
      </c>
      <c r="B53" s="3296" t="s">
        <v>3506</v>
      </c>
      <c r="C53" s="3292" t="s">
        <v>3420</v>
      </c>
      <c r="D53" s="3296" t="s">
        <v>3507</v>
      </c>
      <c r="E53" s="3296">
        <v>110.41</v>
      </c>
      <c r="F53" s="3296" t="s">
        <v>3360</v>
      </c>
      <c r="G53" s="3296" t="s">
        <v>3443</v>
      </c>
      <c r="H53" s="3296" t="s">
        <v>3335</v>
      </c>
      <c r="I53" s="3296" t="s">
        <v>3336</v>
      </c>
      <c r="J53" s="3296">
        <v>3</v>
      </c>
      <c r="K53" s="3292" t="s">
        <v>3337</v>
      </c>
      <c r="L53" s="3292">
        <v>140</v>
      </c>
      <c r="M53" s="3292">
        <v>145</v>
      </c>
      <c r="N53" s="3292">
        <v>150</v>
      </c>
      <c r="O53" s="3292" t="s">
        <v>3338</v>
      </c>
      <c r="P53" s="3292" t="s">
        <v>3338</v>
      </c>
      <c r="Q53" s="3292" t="s">
        <v>3338</v>
      </c>
      <c r="R53" s="3292" t="s">
        <v>3338</v>
      </c>
      <c r="S53" s="3292" t="s">
        <v>3338</v>
      </c>
      <c r="T53" s="3292">
        <f t="shared" si="8"/>
        <v>15457.4</v>
      </c>
      <c r="U53" s="3292">
        <f t="shared" ref="U53:U58" si="12">T53*3</f>
        <v>46372.2</v>
      </c>
      <c r="V53" s="3292">
        <v>22</v>
      </c>
      <c r="W53" s="3292">
        <f t="shared" si="11"/>
        <v>2429.02</v>
      </c>
      <c r="X53" s="3292">
        <v>3</v>
      </c>
      <c r="Y53" s="3292" t="s">
        <v>3338</v>
      </c>
      <c r="Z53" s="3292" t="s">
        <v>3338</v>
      </c>
      <c r="AA53" s="3292">
        <v>3</v>
      </c>
    </row>
    <row r="54" spans="1:28" s="3297" customFormat="1">
      <c r="A54" s="3295">
        <v>51</v>
      </c>
      <c r="B54" s="3296" t="s">
        <v>3508</v>
      </c>
      <c r="C54" s="3292" t="s">
        <v>3420</v>
      </c>
      <c r="D54" s="3296" t="s">
        <v>3509</v>
      </c>
      <c r="E54" s="3296">
        <v>112.73</v>
      </c>
      <c r="F54" s="3296" t="s">
        <v>3374</v>
      </c>
      <c r="G54" s="3296" t="s">
        <v>3510</v>
      </c>
      <c r="H54" s="3296" t="s">
        <v>3335</v>
      </c>
      <c r="I54" s="3296" t="s">
        <v>3336</v>
      </c>
      <c r="J54" s="3296">
        <v>3</v>
      </c>
      <c r="K54" s="3292" t="s">
        <v>3337</v>
      </c>
      <c r="L54" s="3292">
        <v>120</v>
      </c>
      <c r="M54" s="3292">
        <v>130</v>
      </c>
      <c r="N54" s="3292">
        <v>140</v>
      </c>
      <c r="O54" s="3292"/>
      <c r="P54" s="3292"/>
      <c r="Q54" s="3292"/>
      <c r="R54" s="3292"/>
      <c r="S54" s="3292"/>
      <c r="T54" s="3292">
        <f t="shared" si="8"/>
        <v>13527.6</v>
      </c>
      <c r="U54" s="3292"/>
      <c r="V54" s="3292">
        <v>22</v>
      </c>
      <c r="W54" s="3292">
        <f t="shared" si="11"/>
        <v>2480.06</v>
      </c>
      <c r="X54" s="3292">
        <v>6</v>
      </c>
      <c r="Y54" s="3292">
        <v>3</v>
      </c>
      <c r="Z54" s="3292" t="s">
        <v>3338</v>
      </c>
      <c r="AA54" s="3292">
        <v>9</v>
      </c>
    </row>
    <row r="55" spans="1:28" s="3297" customFormat="1">
      <c r="A55" s="3298">
        <v>52</v>
      </c>
      <c r="B55" s="3296" t="s">
        <v>3511</v>
      </c>
      <c r="C55" s="3292" t="s">
        <v>3420</v>
      </c>
      <c r="D55" s="3296" t="s">
        <v>3512</v>
      </c>
      <c r="E55" s="3296">
        <v>95.92</v>
      </c>
      <c r="F55" s="3296" t="s">
        <v>3464</v>
      </c>
      <c r="G55" s="3296" t="s">
        <v>3513</v>
      </c>
      <c r="H55" s="3296" t="s">
        <v>3335</v>
      </c>
      <c r="I55" s="3296" t="s">
        <v>3336</v>
      </c>
      <c r="J55" s="3296">
        <v>3</v>
      </c>
      <c r="K55" s="3292" t="s">
        <v>3337</v>
      </c>
      <c r="L55" s="3292">
        <v>130</v>
      </c>
      <c r="M55" s="3292">
        <v>130</v>
      </c>
      <c r="N55" s="3292">
        <v>140</v>
      </c>
      <c r="O55" s="3292"/>
      <c r="P55" s="3292"/>
      <c r="Q55" s="3292"/>
      <c r="R55" s="3292"/>
      <c r="S55" s="3292"/>
      <c r="T55" s="3292">
        <f t="shared" si="8"/>
        <v>12469.6</v>
      </c>
      <c r="U55" s="3292">
        <f t="shared" si="12"/>
        <v>37408.800000000003</v>
      </c>
      <c r="V55" s="3292">
        <v>45</v>
      </c>
      <c r="W55" s="3292">
        <f t="shared" si="11"/>
        <v>4316.3999999999996</v>
      </c>
      <c r="X55" s="3292">
        <v>3</v>
      </c>
      <c r="Y55" s="3292" t="s">
        <v>3338</v>
      </c>
      <c r="Z55" s="3292" t="s">
        <v>3338</v>
      </c>
      <c r="AA55" s="3292">
        <v>3</v>
      </c>
    </row>
    <row r="56" spans="1:28" s="3297" customFormat="1">
      <c r="A56" s="3295">
        <v>53</v>
      </c>
      <c r="B56" s="3296" t="s">
        <v>3514</v>
      </c>
      <c r="C56" s="3292" t="s">
        <v>3420</v>
      </c>
      <c r="D56" s="3296" t="s">
        <v>3515</v>
      </c>
      <c r="E56" s="3296">
        <v>64.19</v>
      </c>
      <c r="F56" s="3296" t="s">
        <v>3333</v>
      </c>
      <c r="G56" s="3296" t="s">
        <v>3516</v>
      </c>
      <c r="H56" s="3296" t="s">
        <v>3335</v>
      </c>
      <c r="I56" s="3296" t="s">
        <v>3336</v>
      </c>
      <c r="J56" s="3296">
        <v>3</v>
      </c>
      <c r="K56" s="3292" t="s">
        <v>3337</v>
      </c>
      <c r="L56" s="3292">
        <v>125</v>
      </c>
      <c r="M56" s="3292">
        <v>125</v>
      </c>
      <c r="N56" s="3292">
        <v>135</v>
      </c>
      <c r="O56" s="3292" t="s">
        <v>3338</v>
      </c>
      <c r="P56" s="3292" t="s">
        <v>3338</v>
      </c>
      <c r="Q56" s="3292" t="s">
        <v>3338</v>
      </c>
      <c r="R56" s="3292" t="s">
        <v>3338</v>
      </c>
      <c r="S56" s="3292" t="s">
        <v>3338</v>
      </c>
      <c r="T56" s="3292">
        <f t="shared" si="8"/>
        <v>8023.75</v>
      </c>
      <c r="U56" s="3292">
        <f t="shared" si="12"/>
        <v>24071.25</v>
      </c>
      <c r="V56" s="3292">
        <v>45</v>
      </c>
      <c r="W56" s="3292">
        <f t="shared" si="11"/>
        <v>2888.5499999999997</v>
      </c>
      <c r="X56" s="3292">
        <v>3</v>
      </c>
      <c r="Y56" s="3292" t="s">
        <v>3338</v>
      </c>
      <c r="Z56" s="3292" t="s">
        <v>3338</v>
      </c>
      <c r="AA56" s="3292">
        <v>3</v>
      </c>
    </row>
    <row r="57" spans="1:28" s="3297" customFormat="1">
      <c r="A57" s="3298">
        <v>54</v>
      </c>
      <c r="B57" s="3296" t="s">
        <v>3517</v>
      </c>
      <c r="C57" s="3292" t="s">
        <v>3420</v>
      </c>
      <c r="D57" s="3296" t="s">
        <v>3518</v>
      </c>
      <c r="E57" s="3296">
        <v>128.11000000000001</v>
      </c>
      <c r="F57" s="3296" t="s">
        <v>3333</v>
      </c>
      <c r="G57" s="3296" t="s">
        <v>3519</v>
      </c>
      <c r="H57" s="3296" t="s">
        <v>3335</v>
      </c>
      <c r="I57" s="3296" t="s">
        <v>3336</v>
      </c>
      <c r="J57" s="3296">
        <v>3</v>
      </c>
      <c r="K57" s="3292" t="s">
        <v>3337</v>
      </c>
      <c r="L57" s="3292">
        <v>150</v>
      </c>
      <c r="M57" s="3292">
        <v>152</v>
      </c>
      <c r="N57" s="3292">
        <v>154</v>
      </c>
      <c r="O57" s="3292" t="s">
        <v>3338</v>
      </c>
      <c r="P57" s="3292" t="s">
        <v>3338</v>
      </c>
      <c r="Q57" s="3292" t="s">
        <v>3338</v>
      </c>
      <c r="R57" s="3292" t="s">
        <v>3338</v>
      </c>
      <c r="S57" s="3292" t="s">
        <v>3338</v>
      </c>
      <c r="T57" s="3292">
        <f t="shared" si="8"/>
        <v>19216.500000000004</v>
      </c>
      <c r="U57" s="3292">
        <f t="shared" si="12"/>
        <v>57649.500000000015</v>
      </c>
      <c r="V57" s="3292">
        <v>45</v>
      </c>
      <c r="W57" s="3292">
        <f t="shared" si="11"/>
        <v>5764.9500000000007</v>
      </c>
      <c r="X57" s="3292">
        <v>3</v>
      </c>
      <c r="Y57" s="3292" t="s">
        <v>3338</v>
      </c>
      <c r="Z57" s="3292" t="s">
        <v>3338</v>
      </c>
      <c r="AA57" s="3292">
        <v>3</v>
      </c>
    </row>
    <row r="58" spans="1:28" s="3297" customFormat="1">
      <c r="A58" s="3295">
        <v>55</v>
      </c>
      <c r="B58" s="3296" t="s">
        <v>3520</v>
      </c>
      <c r="C58" s="3292" t="s">
        <v>3521</v>
      </c>
      <c r="D58" s="3296" t="s">
        <v>3522</v>
      </c>
      <c r="E58" s="3296">
        <v>76.180000000000007</v>
      </c>
      <c r="F58" s="3296" t="s">
        <v>3333</v>
      </c>
      <c r="G58" s="3296" t="s">
        <v>3523</v>
      </c>
      <c r="H58" s="3296" t="s">
        <v>3335</v>
      </c>
      <c r="I58" s="3296" t="s">
        <v>3336</v>
      </c>
      <c r="J58" s="3296">
        <v>3</v>
      </c>
      <c r="K58" s="3292" t="s">
        <v>3337</v>
      </c>
      <c r="L58" s="3292">
        <v>95</v>
      </c>
      <c r="M58" s="3292">
        <v>95</v>
      </c>
      <c r="N58" s="3292">
        <v>100</v>
      </c>
      <c r="O58" s="3292" t="s">
        <v>3338</v>
      </c>
      <c r="P58" s="3292" t="s">
        <v>3338</v>
      </c>
      <c r="Q58" s="3292" t="s">
        <v>3338</v>
      </c>
      <c r="R58" s="3292" t="s">
        <v>3338</v>
      </c>
      <c r="S58" s="3292" t="s">
        <v>3338</v>
      </c>
      <c r="T58" s="3292">
        <f t="shared" si="8"/>
        <v>7237.1</v>
      </c>
      <c r="U58" s="3292">
        <f t="shared" si="12"/>
        <v>21711.300000000003</v>
      </c>
      <c r="V58" s="3292">
        <v>22</v>
      </c>
      <c r="W58" s="3292">
        <f t="shared" si="11"/>
        <v>1675.96</v>
      </c>
      <c r="X58" s="3292">
        <v>3</v>
      </c>
      <c r="Y58" s="3292" t="s">
        <v>3338</v>
      </c>
      <c r="Z58" s="3292" t="s">
        <v>3338</v>
      </c>
      <c r="AA58" s="3292">
        <v>3</v>
      </c>
    </row>
    <row r="59" spans="1:28" s="3297" customFormat="1" ht="36.75">
      <c r="A59" s="3298">
        <v>56</v>
      </c>
      <c r="B59" s="3296" t="s">
        <v>3524</v>
      </c>
      <c r="C59" s="3292" t="s">
        <v>3521</v>
      </c>
      <c r="D59" s="3296" t="s">
        <v>3525</v>
      </c>
      <c r="E59" s="3296">
        <v>1303.1600000000001</v>
      </c>
      <c r="F59" s="3325" t="s">
        <v>3526</v>
      </c>
      <c r="G59" s="3296" t="s">
        <v>3527</v>
      </c>
      <c r="H59" s="3296" t="s">
        <v>3335</v>
      </c>
      <c r="I59" s="3296" t="s">
        <v>3382</v>
      </c>
      <c r="J59" s="3296">
        <v>6</v>
      </c>
      <c r="K59" s="3292" t="s">
        <v>3337</v>
      </c>
      <c r="L59" s="3292">
        <v>90</v>
      </c>
      <c r="M59" s="3292">
        <v>90</v>
      </c>
      <c r="N59" s="3292">
        <v>90</v>
      </c>
      <c r="O59" s="3292">
        <v>95</v>
      </c>
      <c r="P59" s="3292">
        <v>100</v>
      </c>
      <c r="Q59" s="3292">
        <v>105</v>
      </c>
      <c r="R59" s="3292" t="s">
        <v>3338</v>
      </c>
      <c r="S59" s="3292" t="s">
        <v>3338</v>
      </c>
      <c r="T59" s="3292">
        <f t="shared" si="8"/>
        <v>117284.40000000001</v>
      </c>
      <c r="U59" s="3292"/>
      <c r="V59" s="3292">
        <v>15</v>
      </c>
      <c r="W59" s="3292">
        <f t="shared" si="11"/>
        <v>19547.400000000001</v>
      </c>
      <c r="X59" s="3292">
        <v>12</v>
      </c>
      <c r="Y59" s="3292" t="s">
        <v>3338</v>
      </c>
      <c r="Z59" s="3292" t="s">
        <v>3338</v>
      </c>
      <c r="AA59" s="3292">
        <v>12</v>
      </c>
      <c r="AB59" s="3299"/>
    </row>
    <row r="60" spans="1:28" s="3297" customFormat="1">
      <c r="A60" s="3295">
        <v>57</v>
      </c>
      <c r="B60" s="3296" t="s">
        <v>3528</v>
      </c>
      <c r="C60" s="3292" t="s">
        <v>3521</v>
      </c>
      <c r="D60" s="3296" t="s">
        <v>3529</v>
      </c>
      <c r="E60" s="3296">
        <v>160.69999999999999</v>
      </c>
      <c r="F60" s="3325" t="s">
        <v>3333</v>
      </c>
      <c r="G60" s="3296" t="s">
        <v>3530</v>
      </c>
      <c r="H60" s="3296" t="s">
        <v>3335</v>
      </c>
      <c r="I60" s="3296" t="s">
        <v>3336</v>
      </c>
      <c r="J60" s="3296">
        <v>3</v>
      </c>
      <c r="K60" s="3292" t="s">
        <v>3337</v>
      </c>
      <c r="L60" s="3292">
        <v>90</v>
      </c>
      <c r="M60" s="3292">
        <v>95</v>
      </c>
      <c r="N60" s="3292">
        <v>100</v>
      </c>
      <c r="O60" s="3292" t="s">
        <v>3338</v>
      </c>
      <c r="P60" s="3292" t="s">
        <v>3338</v>
      </c>
      <c r="Q60" s="3292" t="s">
        <v>3338</v>
      </c>
      <c r="R60" s="3292" t="s">
        <v>3338</v>
      </c>
      <c r="S60" s="3292" t="s">
        <v>3338</v>
      </c>
      <c r="T60" s="3292">
        <f t="shared" si="8"/>
        <v>14462.999999999998</v>
      </c>
      <c r="U60" s="3292">
        <f t="shared" ref="U60:U62" si="13">T60*3</f>
        <v>43388.999999999993</v>
      </c>
      <c r="V60" s="3292">
        <v>22</v>
      </c>
      <c r="W60" s="3292">
        <f t="shared" si="11"/>
        <v>3535.3999999999996</v>
      </c>
      <c r="X60" s="3292">
        <v>3</v>
      </c>
      <c r="Y60" s="3292" t="s">
        <v>3338</v>
      </c>
      <c r="Z60" s="3292" t="s">
        <v>3338</v>
      </c>
      <c r="AA60" s="3292">
        <v>3</v>
      </c>
    </row>
    <row r="61" spans="1:28" s="3297" customFormat="1" ht="24.75">
      <c r="A61" s="3298">
        <v>58</v>
      </c>
      <c r="B61" s="3296" t="s">
        <v>3531</v>
      </c>
      <c r="C61" s="3292" t="s">
        <v>3521</v>
      </c>
      <c r="D61" s="3296" t="s">
        <v>3532</v>
      </c>
      <c r="E61" s="3296">
        <v>105.9</v>
      </c>
      <c r="F61" s="3325" t="s">
        <v>3533</v>
      </c>
      <c r="G61" s="3296" t="s">
        <v>3534</v>
      </c>
      <c r="H61" s="3296" t="s">
        <v>3335</v>
      </c>
      <c r="I61" s="3296" t="s">
        <v>3336</v>
      </c>
      <c r="J61" s="3296">
        <v>3</v>
      </c>
      <c r="K61" s="3292" t="s">
        <v>3337</v>
      </c>
      <c r="L61" s="3292">
        <v>110</v>
      </c>
      <c r="M61" s="3292">
        <v>113</v>
      </c>
      <c r="N61" s="3292">
        <v>116</v>
      </c>
      <c r="O61" s="3292" t="s">
        <v>3338</v>
      </c>
      <c r="P61" s="3292" t="s">
        <v>3338</v>
      </c>
      <c r="Q61" s="3292" t="s">
        <v>3338</v>
      </c>
      <c r="R61" s="3292" t="s">
        <v>3338</v>
      </c>
      <c r="S61" s="3292" t="s">
        <v>3338</v>
      </c>
      <c r="T61" s="3292">
        <f t="shared" si="8"/>
        <v>11649</v>
      </c>
      <c r="U61" s="3292">
        <f t="shared" si="13"/>
        <v>34947</v>
      </c>
      <c r="V61" s="3292">
        <v>22</v>
      </c>
      <c r="W61" s="3292">
        <f t="shared" si="11"/>
        <v>2329.8000000000002</v>
      </c>
      <c r="X61" s="3292">
        <v>3</v>
      </c>
      <c r="Y61" s="3292" t="s">
        <v>3338</v>
      </c>
      <c r="Z61" s="3292" t="s">
        <v>3338</v>
      </c>
      <c r="AA61" s="3292">
        <v>3</v>
      </c>
      <c r="AB61" s="3299"/>
    </row>
    <row r="62" spans="1:28" s="3297" customFormat="1">
      <c r="A62" s="3295">
        <v>59</v>
      </c>
      <c r="B62" s="3296" t="s">
        <v>3535</v>
      </c>
      <c r="C62" s="3292" t="s">
        <v>3521</v>
      </c>
      <c r="D62" s="3296" t="s">
        <v>3536</v>
      </c>
      <c r="E62" s="3296">
        <v>98</v>
      </c>
      <c r="F62" s="3325" t="s">
        <v>3537</v>
      </c>
      <c r="G62" s="3296" t="s">
        <v>3538</v>
      </c>
      <c r="H62" s="3296" t="s">
        <v>3335</v>
      </c>
      <c r="I62" s="3296" t="s">
        <v>3336</v>
      </c>
      <c r="J62" s="3296">
        <v>3</v>
      </c>
      <c r="K62" s="3292" t="s">
        <v>3337</v>
      </c>
      <c r="L62" s="3292">
        <v>108</v>
      </c>
      <c r="M62" s="3292">
        <v>108</v>
      </c>
      <c r="N62" s="3292">
        <v>113</v>
      </c>
      <c r="O62" s="3292" t="s">
        <v>3338</v>
      </c>
      <c r="P62" s="3292" t="s">
        <v>3338</v>
      </c>
      <c r="Q62" s="3292" t="s">
        <v>3338</v>
      </c>
      <c r="R62" s="3292" t="s">
        <v>3338</v>
      </c>
      <c r="S62" s="3292" t="s">
        <v>3338</v>
      </c>
      <c r="T62" s="3292">
        <f t="shared" si="8"/>
        <v>10584</v>
      </c>
      <c r="U62" s="3292">
        <f t="shared" si="13"/>
        <v>31752</v>
      </c>
      <c r="V62" s="3292">
        <v>45</v>
      </c>
      <c r="W62" s="3292">
        <f t="shared" si="11"/>
        <v>4410</v>
      </c>
      <c r="X62" s="3292">
        <v>3</v>
      </c>
      <c r="Y62" s="3292" t="s">
        <v>3338</v>
      </c>
      <c r="Z62" s="3292" t="s">
        <v>3338</v>
      </c>
      <c r="AA62" s="3292">
        <v>3</v>
      </c>
    </row>
    <row r="63" spans="1:28" s="3297" customFormat="1">
      <c r="A63" s="3298">
        <v>60</v>
      </c>
      <c r="B63" s="3296" t="s">
        <v>3539</v>
      </c>
      <c r="C63" s="3292" t="s">
        <v>3521</v>
      </c>
      <c r="D63" s="3296" t="s">
        <v>3540</v>
      </c>
      <c r="E63" s="3296">
        <v>101.84</v>
      </c>
      <c r="F63" s="3325" t="s">
        <v>3537</v>
      </c>
      <c r="G63" s="3296" t="s">
        <v>3541</v>
      </c>
      <c r="H63" s="3296" t="s">
        <v>3335</v>
      </c>
      <c r="I63" s="3296" t="s">
        <v>3336</v>
      </c>
      <c r="J63" s="3296">
        <v>3</v>
      </c>
      <c r="K63" s="3292" t="s">
        <v>3337</v>
      </c>
      <c r="L63" s="3292">
        <v>100</v>
      </c>
      <c r="M63" s="3292">
        <v>105</v>
      </c>
      <c r="N63" s="3292">
        <v>110</v>
      </c>
      <c r="O63" s="3292" t="s">
        <v>3338</v>
      </c>
      <c r="P63" s="3292" t="s">
        <v>3338</v>
      </c>
      <c r="Q63" s="3292" t="s">
        <v>3338</v>
      </c>
      <c r="R63" s="3292" t="s">
        <v>3338</v>
      </c>
      <c r="S63" s="3292" t="s">
        <v>3338</v>
      </c>
      <c r="T63" s="3292">
        <f t="shared" si="8"/>
        <v>10184</v>
      </c>
      <c r="U63" s="3292">
        <f>T63*4</f>
        <v>40736</v>
      </c>
      <c r="V63" s="3292">
        <v>45</v>
      </c>
      <c r="W63" s="3292">
        <f t="shared" si="11"/>
        <v>4582.8</v>
      </c>
      <c r="X63" s="3292" t="s">
        <v>3353</v>
      </c>
      <c r="Y63" s="3292" t="s">
        <v>3338</v>
      </c>
      <c r="Z63" s="3292" t="s">
        <v>3338</v>
      </c>
      <c r="AA63" s="3292">
        <v>3</v>
      </c>
    </row>
    <row r="64" spans="1:28" s="3297" customFormat="1">
      <c r="A64" s="3295">
        <v>61</v>
      </c>
      <c r="B64" s="3296" t="s">
        <v>3542</v>
      </c>
      <c r="C64" s="3292" t="s">
        <v>3521</v>
      </c>
      <c r="D64" s="3296" t="s">
        <v>3543</v>
      </c>
      <c r="E64" s="3296">
        <v>91.72</v>
      </c>
      <c r="F64" s="3325" t="s">
        <v>3544</v>
      </c>
      <c r="G64" s="3296" t="s">
        <v>3545</v>
      </c>
      <c r="H64" s="3296" t="s">
        <v>3335</v>
      </c>
      <c r="I64" s="3296" t="s">
        <v>3336</v>
      </c>
      <c r="J64" s="3296">
        <v>3</v>
      </c>
      <c r="K64" s="3292" t="s">
        <v>3337</v>
      </c>
      <c r="L64" s="3292">
        <v>100</v>
      </c>
      <c r="M64" s="3292">
        <v>100</v>
      </c>
      <c r="N64" s="3292">
        <v>105</v>
      </c>
      <c r="O64" s="3292" t="s">
        <v>3338</v>
      </c>
      <c r="P64" s="3292" t="s">
        <v>3338</v>
      </c>
      <c r="Q64" s="3292" t="s">
        <v>3338</v>
      </c>
      <c r="R64" s="3292" t="s">
        <v>3338</v>
      </c>
      <c r="S64" s="3292" t="s">
        <v>3338</v>
      </c>
      <c r="T64" s="3292">
        <f t="shared" si="8"/>
        <v>9172</v>
      </c>
      <c r="U64" s="3292">
        <f>T64*3</f>
        <v>27516</v>
      </c>
      <c r="V64" s="3292">
        <v>45</v>
      </c>
      <c r="W64" s="3292">
        <f t="shared" si="11"/>
        <v>4127.3999999999996</v>
      </c>
      <c r="X64" s="3292">
        <v>3</v>
      </c>
      <c r="Y64" s="3292">
        <v>3</v>
      </c>
      <c r="Z64" s="3292" t="s">
        <v>3338</v>
      </c>
      <c r="AA64" s="3292">
        <v>6</v>
      </c>
    </row>
    <row r="65" spans="1:28" s="3319" customFormat="1">
      <c r="A65" s="3326">
        <v>62</v>
      </c>
      <c r="B65" s="3312" t="s">
        <v>3546</v>
      </c>
      <c r="C65" s="3316" t="s">
        <v>3521</v>
      </c>
      <c r="D65" s="3312" t="s">
        <v>3547</v>
      </c>
      <c r="E65" s="3312">
        <v>210.48</v>
      </c>
      <c r="F65" s="3327" t="s">
        <v>3548</v>
      </c>
      <c r="G65" s="3312" t="s">
        <v>3549</v>
      </c>
      <c r="H65" s="3312" t="s">
        <v>3335</v>
      </c>
      <c r="I65" s="3312" t="s">
        <v>3336</v>
      </c>
      <c r="J65" s="3312">
        <v>3</v>
      </c>
      <c r="K65" s="3316" t="s">
        <v>3329</v>
      </c>
      <c r="L65" s="3317">
        <v>0.08</v>
      </c>
      <c r="M65" s="3317">
        <v>0.08</v>
      </c>
      <c r="N65" s="3317">
        <v>0.09</v>
      </c>
      <c r="O65" s="3316" t="s">
        <v>3338</v>
      </c>
      <c r="P65" s="3316" t="s">
        <v>3338</v>
      </c>
      <c r="Q65" s="3316" t="s">
        <v>3338</v>
      </c>
      <c r="R65" s="3316" t="s">
        <v>3338</v>
      </c>
      <c r="S65" s="3316" t="s">
        <v>3338</v>
      </c>
      <c r="T65" s="3292">
        <f>E65*100</f>
        <v>21048</v>
      </c>
      <c r="U65" s="3318">
        <v>126288</v>
      </c>
      <c r="V65" s="3316" t="s">
        <v>3338</v>
      </c>
      <c r="W65" s="3316" t="s">
        <v>3550</v>
      </c>
      <c r="X65" s="3316" t="s">
        <v>3338</v>
      </c>
      <c r="Y65" s="3316" t="s">
        <v>3338</v>
      </c>
      <c r="Z65" s="3316" t="s">
        <v>3338</v>
      </c>
      <c r="AA65" s="3316" t="s">
        <v>3338</v>
      </c>
    </row>
    <row r="66" spans="1:28" s="3297" customFormat="1">
      <c r="A66" s="3295">
        <v>63</v>
      </c>
      <c r="B66" s="3296" t="s">
        <v>3551</v>
      </c>
      <c r="C66" s="3292" t="s">
        <v>3521</v>
      </c>
      <c r="D66" s="3296" t="s">
        <v>3552</v>
      </c>
      <c r="E66" s="3296">
        <v>18.46</v>
      </c>
      <c r="F66" s="3296" t="s">
        <v>3415</v>
      </c>
      <c r="G66" s="3296" t="s">
        <v>3553</v>
      </c>
      <c r="H66" s="3296" t="s">
        <v>3335</v>
      </c>
      <c r="I66" s="3296" t="s">
        <v>3336</v>
      </c>
      <c r="J66" s="3296">
        <v>3</v>
      </c>
      <c r="K66" s="3292" t="s">
        <v>3337</v>
      </c>
      <c r="L66" s="3292">
        <v>120</v>
      </c>
      <c r="M66" s="3292">
        <v>120</v>
      </c>
      <c r="N66" s="3292">
        <v>130</v>
      </c>
      <c r="O66" s="3292" t="s">
        <v>3338</v>
      </c>
      <c r="P66" s="3292" t="s">
        <v>3338</v>
      </c>
      <c r="Q66" s="3292" t="s">
        <v>3338</v>
      </c>
      <c r="R66" s="3292" t="s">
        <v>3338</v>
      </c>
      <c r="S66" s="3292" t="s">
        <v>3338</v>
      </c>
      <c r="T66" s="3292">
        <f t="shared" ref="T66:T84" si="14">E66*L66</f>
        <v>2215.2000000000003</v>
      </c>
      <c r="U66" s="3292">
        <f>T66*5</f>
        <v>11076.000000000002</v>
      </c>
      <c r="V66" s="3292">
        <v>22</v>
      </c>
      <c r="W66" s="3292">
        <f t="shared" ref="W66:W71" si="15">V66*E66</f>
        <v>406.12</v>
      </c>
      <c r="X66" s="3292">
        <v>1</v>
      </c>
      <c r="Y66" s="3292" t="s">
        <v>3338</v>
      </c>
      <c r="Z66" s="3292" t="s">
        <v>3338</v>
      </c>
      <c r="AA66" s="3292">
        <v>1</v>
      </c>
    </row>
    <row r="67" spans="1:28" s="3297" customFormat="1">
      <c r="A67" s="3298">
        <v>64</v>
      </c>
      <c r="B67" s="3296" t="s">
        <v>3554</v>
      </c>
      <c r="C67" s="3292" t="s">
        <v>3521</v>
      </c>
      <c r="D67" s="3296" t="s">
        <v>3555</v>
      </c>
      <c r="E67" s="3296">
        <v>45.32</v>
      </c>
      <c r="F67" s="3296" t="s">
        <v>3556</v>
      </c>
      <c r="G67" s="3296" t="s">
        <v>3557</v>
      </c>
      <c r="H67" s="3296" t="s">
        <v>3335</v>
      </c>
      <c r="I67" s="3296" t="s">
        <v>3336</v>
      </c>
      <c r="J67" s="3296">
        <v>3</v>
      </c>
      <c r="K67" s="3292" t="s">
        <v>3337</v>
      </c>
      <c r="L67" s="3292">
        <v>74</v>
      </c>
      <c r="M67" s="3292">
        <v>79</v>
      </c>
      <c r="N67" s="3292">
        <v>84</v>
      </c>
      <c r="O67" s="3292" t="s">
        <v>3338</v>
      </c>
      <c r="P67" s="3292" t="s">
        <v>3338</v>
      </c>
      <c r="Q67" s="3292" t="s">
        <v>3338</v>
      </c>
      <c r="R67" s="3292" t="s">
        <v>3338</v>
      </c>
      <c r="S67" s="3292" t="s">
        <v>3338</v>
      </c>
      <c r="T67" s="3292">
        <f t="shared" si="14"/>
        <v>3353.68</v>
      </c>
      <c r="U67" s="3292">
        <f t="shared" ref="U67:U71" si="16">T67*3</f>
        <v>10061.039999999999</v>
      </c>
      <c r="V67" s="3292">
        <v>22</v>
      </c>
      <c r="W67" s="3292">
        <f t="shared" si="15"/>
        <v>997.04</v>
      </c>
      <c r="X67" s="3292">
        <v>3</v>
      </c>
      <c r="Y67" s="3292" t="s">
        <v>3338</v>
      </c>
      <c r="Z67" s="3292" t="s">
        <v>3338</v>
      </c>
      <c r="AA67" s="3292">
        <v>3</v>
      </c>
    </row>
    <row r="68" spans="1:28" s="3297" customFormat="1">
      <c r="A68" s="3295">
        <v>65</v>
      </c>
      <c r="B68" s="3296" t="s">
        <v>3558</v>
      </c>
      <c r="C68" s="3292" t="s">
        <v>3521</v>
      </c>
      <c r="D68" s="3296" t="s">
        <v>3559</v>
      </c>
      <c r="E68" s="3296">
        <v>262.49</v>
      </c>
      <c r="F68" s="3296" t="s">
        <v>3560</v>
      </c>
      <c r="G68" s="3296" t="s">
        <v>3561</v>
      </c>
      <c r="H68" s="3296" t="s">
        <v>3335</v>
      </c>
      <c r="I68" s="3296" t="s">
        <v>3336</v>
      </c>
      <c r="J68" s="3296">
        <v>3</v>
      </c>
      <c r="K68" s="3292" t="s">
        <v>3337</v>
      </c>
      <c r="L68" s="3292">
        <v>102</v>
      </c>
      <c r="M68" s="3292">
        <v>106</v>
      </c>
      <c r="N68" s="3292">
        <v>110</v>
      </c>
      <c r="O68" s="3292" t="s">
        <v>3338</v>
      </c>
      <c r="P68" s="3292" t="s">
        <v>3338</v>
      </c>
      <c r="Q68" s="3292" t="s">
        <v>3338</v>
      </c>
      <c r="R68" s="3292" t="s">
        <v>3338</v>
      </c>
      <c r="S68" s="3292" t="s">
        <v>3338</v>
      </c>
      <c r="T68" s="3292">
        <f t="shared" si="14"/>
        <v>26773.98</v>
      </c>
      <c r="U68" s="3292"/>
      <c r="V68" s="3292">
        <v>15</v>
      </c>
      <c r="W68" s="3292">
        <f t="shared" si="15"/>
        <v>3937.3500000000004</v>
      </c>
      <c r="X68" s="3292">
        <v>6</v>
      </c>
      <c r="Y68" s="3292">
        <v>6</v>
      </c>
      <c r="Z68" s="3292" t="s">
        <v>3338</v>
      </c>
      <c r="AA68" s="3292">
        <v>12</v>
      </c>
    </row>
    <row r="69" spans="1:28" s="3297" customFormat="1">
      <c r="A69" s="3298">
        <v>66</v>
      </c>
      <c r="B69" s="3296" t="s">
        <v>3562</v>
      </c>
      <c r="C69" s="3292" t="s">
        <v>3521</v>
      </c>
      <c r="D69" s="3296" t="s">
        <v>3563</v>
      </c>
      <c r="E69" s="3296">
        <v>314.97000000000003</v>
      </c>
      <c r="F69" s="3296" t="s">
        <v>3564</v>
      </c>
      <c r="G69" s="3296" t="s">
        <v>3565</v>
      </c>
      <c r="H69" s="3296" t="s">
        <v>3335</v>
      </c>
      <c r="I69" s="3296" t="s">
        <v>3566</v>
      </c>
      <c r="J69" s="3296">
        <v>1</v>
      </c>
      <c r="K69" s="3292" t="s">
        <v>3337</v>
      </c>
      <c r="L69" s="3292">
        <v>95</v>
      </c>
      <c r="M69" s="3292" t="s">
        <v>3338</v>
      </c>
      <c r="N69" s="3292" t="s">
        <v>3338</v>
      </c>
      <c r="O69" s="3292" t="s">
        <v>3338</v>
      </c>
      <c r="P69" s="3292" t="s">
        <v>3338</v>
      </c>
      <c r="Q69" s="3292" t="s">
        <v>3338</v>
      </c>
      <c r="R69" s="3292" t="s">
        <v>3338</v>
      </c>
      <c r="S69" s="3292" t="s">
        <v>3338</v>
      </c>
      <c r="T69" s="3292">
        <f t="shared" si="14"/>
        <v>29922.15</v>
      </c>
      <c r="U69" s="3292">
        <v>119688.6</v>
      </c>
      <c r="V69" s="3292">
        <v>18</v>
      </c>
      <c r="W69" s="3292">
        <f t="shared" si="15"/>
        <v>5669.4600000000009</v>
      </c>
      <c r="X69" s="3292" t="s">
        <v>3567</v>
      </c>
      <c r="Y69" s="3292" t="s">
        <v>3338</v>
      </c>
      <c r="Z69" s="3292" t="s">
        <v>3338</v>
      </c>
      <c r="AA69" s="3292">
        <v>4</v>
      </c>
    </row>
    <row r="70" spans="1:28" s="3297" customFormat="1">
      <c r="A70" s="3295">
        <v>67</v>
      </c>
      <c r="B70" s="3296" t="s">
        <v>3568</v>
      </c>
      <c r="C70" s="3292" t="s">
        <v>3521</v>
      </c>
      <c r="D70" s="3296" t="s">
        <v>3569</v>
      </c>
      <c r="E70" s="3296">
        <v>155.29</v>
      </c>
      <c r="F70" s="3296" t="s">
        <v>3556</v>
      </c>
      <c r="G70" s="3296" t="s">
        <v>3570</v>
      </c>
      <c r="H70" s="3296" t="s">
        <v>3335</v>
      </c>
      <c r="I70" s="3296" t="s">
        <v>3336</v>
      </c>
      <c r="J70" s="3296">
        <v>3</v>
      </c>
      <c r="K70" s="3292" t="s">
        <v>3337</v>
      </c>
      <c r="L70" s="3292">
        <v>90</v>
      </c>
      <c r="M70" s="3292">
        <v>92</v>
      </c>
      <c r="N70" s="3292">
        <v>94</v>
      </c>
      <c r="O70" s="3292" t="s">
        <v>3338</v>
      </c>
      <c r="P70" s="3292" t="s">
        <v>3338</v>
      </c>
      <c r="Q70" s="3292" t="s">
        <v>3338</v>
      </c>
      <c r="R70" s="3292" t="s">
        <v>3338</v>
      </c>
      <c r="S70" s="3292" t="s">
        <v>3338</v>
      </c>
      <c r="T70" s="3292">
        <f t="shared" si="14"/>
        <v>13976.099999999999</v>
      </c>
      <c r="U70" s="3292">
        <f t="shared" si="16"/>
        <v>41928.299999999996</v>
      </c>
      <c r="V70" s="3292">
        <v>17</v>
      </c>
      <c r="W70" s="3292">
        <f t="shared" si="15"/>
        <v>2639.93</v>
      </c>
      <c r="X70" s="3292">
        <v>3</v>
      </c>
      <c r="Y70" s="3292" t="s">
        <v>3338</v>
      </c>
      <c r="Z70" s="3292" t="s">
        <v>3338</v>
      </c>
      <c r="AA70" s="3292">
        <v>3</v>
      </c>
    </row>
    <row r="71" spans="1:28" s="3297" customFormat="1">
      <c r="A71" s="3298">
        <v>68</v>
      </c>
      <c r="B71" s="3296" t="s">
        <v>3571</v>
      </c>
      <c r="C71" s="3292" t="s">
        <v>3521</v>
      </c>
      <c r="D71" s="3296" t="s">
        <v>3572</v>
      </c>
      <c r="E71" s="3296">
        <v>38.909999999999997</v>
      </c>
      <c r="F71" s="3296" t="s">
        <v>3556</v>
      </c>
      <c r="G71" s="3296" t="s">
        <v>3557</v>
      </c>
      <c r="H71" s="3296" t="s">
        <v>3335</v>
      </c>
      <c r="I71" s="3296" t="s">
        <v>3336</v>
      </c>
      <c r="J71" s="3296">
        <v>3</v>
      </c>
      <c r="K71" s="3292" t="s">
        <v>3337</v>
      </c>
      <c r="L71" s="3292">
        <v>90</v>
      </c>
      <c r="M71" s="3292">
        <v>95</v>
      </c>
      <c r="N71" s="3292">
        <v>100</v>
      </c>
      <c r="O71" s="3292" t="s">
        <v>3338</v>
      </c>
      <c r="P71" s="3292" t="s">
        <v>3338</v>
      </c>
      <c r="Q71" s="3292" t="s">
        <v>3338</v>
      </c>
      <c r="R71" s="3292" t="s">
        <v>3338</v>
      </c>
      <c r="S71" s="3292" t="s">
        <v>3338</v>
      </c>
      <c r="T71" s="3292">
        <f t="shared" si="14"/>
        <v>3501.8999999999996</v>
      </c>
      <c r="U71" s="3292">
        <f t="shared" si="16"/>
        <v>10505.699999999999</v>
      </c>
      <c r="V71" s="3292">
        <v>45</v>
      </c>
      <c r="W71" s="3292">
        <f t="shared" si="15"/>
        <v>1750.9499999999998</v>
      </c>
      <c r="X71" s="3292">
        <v>3</v>
      </c>
      <c r="Y71" s="3292" t="s">
        <v>3338</v>
      </c>
      <c r="Z71" s="3292" t="s">
        <v>3338</v>
      </c>
      <c r="AA71" s="3292">
        <v>3</v>
      </c>
      <c r="AB71" s="3299"/>
    </row>
    <row r="72" spans="1:28" s="3297" customFormat="1">
      <c r="A72" s="3298">
        <v>70</v>
      </c>
      <c r="B72" s="3296" t="s">
        <v>3575</v>
      </c>
      <c r="C72" s="3292" t="s">
        <v>3521</v>
      </c>
      <c r="D72" s="3296" t="s">
        <v>3576</v>
      </c>
      <c r="E72" s="3296">
        <v>756.36</v>
      </c>
      <c r="F72" s="3296" t="s">
        <v>3577</v>
      </c>
      <c r="G72" s="3296" t="s">
        <v>3578</v>
      </c>
      <c r="H72" s="3296" t="s">
        <v>3579</v>
      </c>
      <c r="I72" s="3296" t="s">
        <v>3580</v>
      </c>
      <c r="J72" s="3296">
        <v>8</v>
      </c>
      <c r="K72" s="3292" t="s">
        <v>3337</v>
      </c>
      <c r="L72" s="3292">
        <v>95</v>
      </c>
      <c r="M72" s="3292">
        <v>95</v>
      </c>
      <c r="N72" s="3292">
        <v>95</v>
      </c>
      <c r="O72" s="3292">
        <v>98</v>
      </c>
      <c r="P72" s="3292">
        <v>100</v>
      </c>
      <c r="Q72" s="3292">
        <v>102</v>
      </c>
      <c r="R72" s="3292">
        <v>104</v>
      </c>
      <c r="S72" s="3292">
        <v>106</v>
      </c>
      <c r="T72" s="3292">
        <f t="shared" si="14"/>
        <v>71854.2</v>
      </c>
      <c r="U72" s="3292">
        <f>T72*2</f>
        <v>143708.4</v>
      </c>
      <c r="V72" s="3292">
        <v>12</v>
      </c>
      <c r="W72" s="3292">
        <f>E72*12</f>
        <v>9076.32</v>
      </c>
      <c r="X72" s="3292">
        <v>4</v>
      </c>
      <c r="Y72" s="3292"/>
      <c r="Z72" s="3292"/>
      <c r="AA72" s="3292">
        <v>4</v>
      </c>
    </row>
    <row r="73" spans="1:28" s="3297" customFormat="1">
      <c r="A73" s="3295">
        <v>71</v>
      </c>
      <c r="B73" s="3296" t="s">
        <v>3581</v>
      </c>
      <c r="C73" s="3292" t="s">
        <v>3521</v>
      </c>
      <c r="D73" s="3296" t="s">
        <v>3582</v>
      </c>
      <c r="E73" s="3296">
        <v>31.78</v>
      </c>
      <c r="F73" s="3296" t="s">
        <v>3415</v>
      </c>
      <c r="G73" s="3296" t="s">
        <v>3583</v>
      </c>
      <c r="H73" s="3296" t="s">
        <v>3335</v>
      </c>
      <c r="I73" s="3296" t="s">
        <v>3336</v>
      </c>
      <c r="J73" s="3296">
        <v>3</v>
      </c>
      <c r="K73" s="3292" t="s">
        <v>3337</v>
      </c>
      <c r="L73" s="3292">
        <v>90</v>
      </c>
      <c r="M73" s="3292">
        <v>93</v>
      </c>
      <c r="N73" s="3292">
        <v>96</v>
      </c>
      <c r="O73" s="3292" t="s">
        <v>3338</v>
      </c>
      <c r="P73" s="3292" t="s">
        <v>3338</v>
      </c>
      <c r="Q73" s="3292" t="s">
        <v>3338</v>
      </c>
      <c r="R73" s="3292" t="s">
        <v>3338</v>
      </c>
      <c r="S73" s="3292" t="s">
        <v>3338</v>
      </c>
      <c r="T73" s="3292">
        <f t="shared" si="14"/>
        <v>2860.2000000000003</v>
      </c>
      <c r="U73" s="3292">
        <f>T73*3</f>
        <v>8580.6</v>
      </c>
      <c r="V73" s="3292">
        <v>45</v>
      </c>
      <c r="W73" s="3292">
        <f t="shared" ref="W73:W80" si="17">V73*E73</f>
        <v>1430.1000000000001</v>
      </c>
      <c r="X73" s="3292">
        <v>3</v>
      </c>
      <c r="Y73" s="3292" t="s">
        <v>3338</v>
      </c>
      <c r="Z73" s="3292" t="s">
        <v>3338</v>
      </c>
      <c r="AA73" s="3292">
        <v>3</v>
      </c>
      <c r="AB73" s="3299"/>
    </row>
    <row r="74" spans="1:28" s="3297" customFormat="1">
      <c r="A74" s="3298">
        <v>72</v>
      </c>
      <c r="B74" s="3296" t="s">
        <v>3584</v>
      </c>
      <c r="C74" s="3292" t="s">
        <v>3521</v>
      </c>
      <c r="D74" s="3296" t="s">
        <v>3585</v>
      </c>
      <c r="E74" s="3296">
        <v>64.84</v>
      </c>
      <c r="F74" s="3296" t="s">
        <v>3537</v>
      </c>
      <c r="G74" s="3296" t="s">
        <v>3586</v>
      </c>
      <c r="H74" s="3296" t="s">
        <v>3335</v>
      </c>
      <c r="I74" s="3296" t="s">
        <v>3336</v>
      </c>
      <c r="J74" s="3296">
        <v>3</v>
      </c>
      <c r="K74" s="3292" t="s">
        <v>3337</v>
      </c>
      <c r="L74" s="3292">
        <v>115</v>
      </c>
      <c r="M74" s="3292">
        <v>120</v>
      </c>
      <c r="N74" s="3292">
        <v>125</v>
      </c>
      <c r="O74" s="3292" t="s">
        <v>3338</v>
      </c>
      <c r="P74" s="3292" t="s">
        <v>3338</v>
      </c>
      <c r="Q74" s="3292" t="s">
        <v>3338</v>
      </c>
      <c r="R74" s="3292" t="s">
        <v>3338</v>
      </c>
      <c r="S74" s="3292" t="s">
        <v>3338</v>
      </c>
      <c r="T74" s="3292">
        <f t="shared" si="14"/>
        <v>7456.6</v>
      </c>
      <c r="U74" s="3292"/>
      <c r="V74" s="3292">
        <v>25</v>
      </c>
      <c r="W74" s="3292">
        <f t="shared" si="17"/>
        <v>1621</v>
      </c>
      <c r="X74" s="3292">
        <v>6</v>
      </c>
      <c r="Y74" s="3292">
        <v>3</v>
      </c>
      <c r="Z74" s="3292" t="s">
        <v>3338</v>
      </c>
      <c r="AA74" s="3292">
        <v>9</v>
      </c>
    </row>
    <row r="75" spans="1:28" s="3297" customFormat="1">
      <c r="A75" s="3295">
        <v>73</v>
      </c>
      <c r="B75" s="3296" t="s">
        <v>3587</v>
      </c>
      <c r="C75" s="3292" t="s">
        <v>3521</v>
      </c>
      <c r="D75" s="3296" t="s">
        <v>3588</v>
      </c>
      <c r="E75" s="3296">
        <v>44.09</v>
      </c>
      <c r="F75" s="3296" t="s">
        <v>3589</v>
      </c>
      <c r="G75" s="3296" t="s">
        <v>3590</v>
      </c>
      <c r="H75" s="3296" t="s">
        <v>3335</v>
      </c>
      <c r="I75" s="3296" t="s">
        <v>3336</v>
      </c>
      <c r="J75" s="3296">
        <v>3</v>
      </c>
      <c r="K75" s="3292" t="s">
        <v>3337</v>
      </c>
      <c r="L75" s="3292">
        <v>100</v>
      </c>
      <c r="M75" s="3292">
        <v>103</v>
      </c>
      <c r="N75" s="3292">
        <v>106</v>
      </c>
      <c r="O75" s="3292" t="s">
        <v>3338</v>
      </c>
      <c r="P75" s="3292" t="s">
        <v>3338</v>
      </c>
      <c r="Q75" s="3292" t="s">
        <v>3338</v>
      </c>
      <c r="R75" s="3292" t="s">
        <v>3338</v>
      </c>
      <c r="S75" s="3292" t="s">
        <v>3338</v>
      </c>
      <c r="T75" s="3292">
        <f t="shared" si="14"/>
        <v>4409</v>
      </c>
      <c r="U75" s="3292">
        <f>T75*3</f>
        <v>13227</v>
      </c>
      <c r="V75" s="3292">
        <v>45</v>
      </c>
      <c r="W75" s="3292">
        <f t="shared" si="17"/>
        <v>1984.0500000000002</v>
      </c>
      <c r="X75" s="3292">
        <v>3</v>
      </c>
      <c r="Y75" s="3292" t="s">
        <v>3338</v>
      </c>
      <c r="Z75" s="3292" t="s">
        <v>3338</v>
      </c>
      <c r="AA75" s="3292">
        <v>3</v>
      </c>
    </row>
    <row r="76" spans="1:28" s="3297" customFormat="1">
      <c r="A76" s="3298">
        <v>74</v>
      </c>
      <c r="B76" s="3296" t="s">
        <v>3591</v>
      </c>
      <c r="C76" s="3292" t="s">
        <v>3521</v>
      </c>
      <c r="D76" s="3296" t="s">
        <v>3592</v>
      </c>
      <c r="E76" s="3296">
        <v>98.33</v>
      </c>
      <c r="F76" s="3296" t="s">
        <v>3537</v>
      </c>
      <c r="G76" s="3296" t="s">
        <v>3593</v>
      </c>
      <c r="H76" s="3296" t="s">
        <v>3335</v>
      </c>
      <c r="I76" s="3296" t="s">
        <v>3336</v>
      </c>
      <c r="J76" s="3296">
        <v>3</v>
      </c>
      <c r="K76" s="3292" t="s">
        <v>3337</v>
      </c>
      <c r="L76" s="3292">
        <v>100</v>
      </c>
      <c r="M76" s="3292">
        <v>105</v>
      </c>
      <c r="N76" s="3292">
        <v>105</v>
      </c>
      <c r="O76" s="3292" t="s">
        <v>3338</v>
      </c>
      <c r="P76" s="3292" t="s">
        <v>3338</v>
      </c>
      <c r="Q76" s="3292" t="s">
        <v>3338</v>
      </c>
      <c r="R76" s="3292" t="s">
        <v>3338</v>
      </c>
      <c r="S76" s="3292" t="s">
        <v>3338</v>
      </c>
      <c r="T76" s="3292">
        <f t="shared" si="14"/>
        <v>9833</v>
      </c>
      <c r="U76" s="3292"/>
      <c r="V76" s="3292">
        <v>25</v>
      </c>
      <c r="W76" s="3292">
        <f t="shared" si="17"/>
        <v>2458.25</v>
      </c>
      <c r="X76" s="3292">
        <v>6</v>
      </c>
      <c r="Y76" s="3292">
        <v>3</v>
      </c>
      <c r="Z76" s="3292" t="s">
        <v>3338</v>
      </c>
      <c r="AA76" s="3292">
        <v>9</v>
      </c>
      <c r="AB76" s="3299"/>
    </row>
    <row r="77" spans="1:28" s="3297" customFormat="1">
      <c r="A77" s="3295">
        <v>75</v>
      </c>
      <c r="B77" s="3296" t="s">
        <v>3594</v>
      </c>
      <c r="C77" s="3292" t="s">
        <v>3521</v>
      </c>
      <c r="D77" s="3296" t="s">
        <v>3595</v>
      </c>
      <c r="E77" s="3296">
        <v>96.86</v>
      </c>
      <c r="F77" s="3296" t="s">
        <v>3537</v>
      </c>
      <c r="G77" s="3296" t="s">
        <v>3596</v>
      </c>
      <c r="H77" s="3296" t="s">
        <v>3335</v>
      </c>
      <c r="I77" s="3296" t="s">
        <v>3336</v>
      </c>
      <c r="J77" s="3296">
        <v>3</v>
      </c>
      <c r="K77" s="3292" t="s">
        <v>3337</v>
      </c>
      <c r="L77" s="3292">
        <v>98</v>
      </c>
      <c r="M77" s="3292">
        <v>103</v>
      </c>
      <c r="N77" s="3292">
        <v>108</v>
      </c>
      <c r="O77" s="3292" t="s">
        <v>3338</v>
      </c>
      <c r="P77" s="3292" t="s">
        <v>3338</v>
      </c>
      <c r="Q77" s="3292" t="s">
        <v>3338</v>
      </c>
      <c r="R77" s="3292" t="s">
        <v>3338</v>
      </c>
      <c r="S77" s="3292" t="s">
        <v>3338</v>
      </c>
      <c r="T77" s="3292">
        <f t="shared" si="14"/>
        <v>9492.2800000000007</v>
      </c>
      <c r="U77" s="3292"/>
      <c r="V77" s="3292">
        <v>25</v>
      </c>
      <c r="W77" s="3292">
        <f t="shared" si="17"/>
        <v>2421.5</v>
      </c>
      <c r="X77" s="3292">
        <v>6</v>
      </c>
      <c r="Y77" s="3292">
        <v>3</v>
      </c>
      <c r="Z77" s="3292" t="s">
        <v>3338</v>
      </c>
      <c r="AA77" s="3292">
        <v>9</v>
      </c>
    </row>
    <row r="78" spans="1:28" s="3324" customFormat="1">
      <c r="A78" s="3320">
        <v>76</v>
      </c>
      <c r="B78" s="3321" t="s">
        <v>3597</v>
      </c>
      <c r="C78" s="3322" t="s">
        <v>3521</v>
      </c>
      <c r="D78" s="3321" t="s">
        <v>3598</v>
      </c>
      <c r="E78" s="3321">
        <v>102.22</v>
      </c>
      <c r="F78" s="3321" t="s">
        <v>3589</v>
      </c>
      <c r="G78" s="3321" t="s">
        <v>3599</v>
      </c>
      <c r="H78" s="3321" t="s">
        <v>3335</v>
      </c>
      <c r="I78" s="3321" t="s">
        <v>3336</v>
      </c>
      <c r="J78" s="3321">
        <v>3</v>
      </c>
      <c r="K78" s="3322" t="s">
        <v>3337</v>
      </c>
      <c r="L78" s="3322">
        <v>105</v>
      </c>
      <c r="M78" s="3322">
        <v>108</v>
      </c>
      <c r="N78" s="3322">
        <v>111</v>
      </c>
      <c r="O78" s="3322" t="s">
        <v>3338</v>
      </c>
      <c r="P78" s="3322" t="s">
        <v>3338</v>
      </c>
      <c r="Q78" s="3322" t="s">
        <v>3338</v>
      </c>
      <c r="R78" s="3322" t="s">
        <v>3338</v>
      </c>
      <c r="S78" s="3322" t="s">
        <v>3338</v>
      </c>
      <c r="T78" s="3322">
        <f t="shared" si="14"/>
        <v>10733.1</v>
      </c>
      <c r="U78" s="3322">
        <f>T78*2</f>
        <v>21466.2</v>
      </c>
      <c r="V78" s="3292">
        <v>45</v>
      </c>
      <c r="W78" s="3322">
        <f t="shared" si="17"/>
        <v>4599.8999999999996</v>
      </c>
      <c r="X78" s="3322">
        <v>4</v>
      </c>
      <c r="Y78" s="3322" t="s">
        <v>3338</v>
      </c>
      <c r="Z78" s="3322" t="s">
        <v>3338</v>
      </c>
      <c r="AA78" s="3322">
        <v>4</v>
      </c>
    </row>
    <row r="79" spans="1:28" s="3297" customFormat="1">
      <c r="A79" s="3295">
        <v>77</v>
      </c>
      <c r="B79" s="3296" t="s">
        <v>3600</v>
      </c>
      <c r="C79" s="3292" t="s">
        <v>3521</v>
      </c>
      <c r="D79" s="3296" t="s">
        <v>3601</v>
      </c>
      <c r="E79" s="3296">
        <v>109.64</v>
      </c>
      <c r="F79" s="3296" t="s">
        <v>3589</v>
      </c>
      <c r="G79" s="3296" t="s">
        <v>3602</v>
      </c>
      <c r="H79" s="3296" t="s">
        <v>3335</v>
      </c>
      <c r="I79" s="3296" t="s">
        <v>3336</v>
      </c>
      <c r="J79" s="3296">
        <v>3</v>
      </c>
      <c r="K79" s="3292" t="s">
        <v>3337</v>
      </c>
      <c r="L79" s="3292">
        <v>100</v>
      </c>
      <c r="M79" s="3292">
        <v>106</v>
      </c>
      <c r="N79" s="3292">
        <v>112</v>
      </c>
      <c r="O79" s="3292" t="s">
        <v>3338</v>
      </c>
      <c r="P79" s="3292" t="s">
        <v>3338</v>
      </c>
      <c r="Q79" s="3292" t="s">
        <v>3338</v>
      </c>
      <c r="R79" s="3292" t="s">
        <v>3338</v>
      </c>
      <c r="S79" s="3292" t="s">
        <v>3338</v>
      </c>
      <c r="T79" s="3292">
        <f t="shared" si="14"/>
        <v>10964</v>
      </c>
      <c r="U79" s="3292">
        <f>T79*2</f>
        <v>21928</v>
      </c>
      <c r="V79" s="3292">
        <v>45</v>
      </c>
      <c r="W79" s="3292">
        <f t="shared" si="17"/>
        <v>4933.8</v>
      </c>
      <c r="X79" s="3292">
        <v>4</v>
      </c>
      <c r="Y79" s="3292" t="s">
        <v>3338</v>
      </c>
      <c r="Z79" s="3292" t="s">
        <v>3338</v>
      </c>
      <c r="AA79" s="3292">
        <v>4</v>
      </c>
    </row>
    <row r="80" spans="1:28" s="3297" customFormat="1">
      <c r="A80" s="3298">
        <v>78</v>
      </c>
      <c r="B80" s="3296" t="s">
        <v>3603</v>
      </c>
      <c r="C80" s="3292" t="s">
        <v>3521</v>
      </c>
      <c r="D80" s="3296" t="s">
        <v>3604</v>
      </c>
      <c r="E80" s="3296">
        <v>113.02</v>
      </c>
      <c r="F80" s="3296" t="s">
        <v>3605</v>
      </c>
      <c r="G80" s="3296" t="s">
        <v>3606</v>
      </c>
      <c r="H80" s="3296" t="s">
        <v>3335</v>
      </c>
      <c r="I80" s="3296" t="s">
        <v>3336</v>
      </c>
      <c r="J80" s="3296">
        <v>3</v>
      </c>
      <c r="K80" s="3292" t="s">
        <v>3337</v>
      </c>
      <c r="L80" s="3292">
        <v>110</v>
      </c>
      <c r="M80" s="3292">
        <v>112</v>
      </c>
      <c r="N80" s="3292">
        <v>114</v>
      </c>
      <c r="O80" s="3292" t="s">
        <v>3338</v>
      </c>
      <c r="P80" s="3292" t="s">
        <v>3338</v>
      </c>
      <c r="Q80" s="3292" t="s">
        <v>3338</v>
      </c>
      <c r="R80" s="3292" t="s">
        <v>3338</v>
      </c>
      <c r="S80" s="3292" t="s">
        <v>3338</v>
      </c>
      <c r="T80" s="3328">
        <f t="shared" si="14"/>
        <v>12432.199999999999</v>
      </c>
      <c r="U80" s="3328">
        <f t="shared" ref="U80:U84" si="18">T80*3</f>
        <v>37296.6</v>
      </c>
      <c r="V80" s="3292">
        <v>45</v>
      </c>
      <c r="W80" s="3292">
        <f t="shared" si="17"/>
        <v>5085.8999999999996</v>
      </c>
      <c r="X80" s="3292">
        <v>3</v>
      </c>
      <c r="Y80" s="3292">
        <v>2</v>
      </c>
      <c r="Z80" s="3292" t="s">
        <v>3338</v>
      </c>
      <c r="AA80" s="3292">
        <v>5</v>
      </c>
    </row>
    <row r="81" spans="1:28" s="3297" customFormat="1">
      <c r="A81" s="3295">
        <v>79</v>
      </c>
      <c r="B81" s="3296" t="s">
        <v>3607</v>
      </c>
      <c r="C81" s="3292" t="s">
        <v>3521</v>
      </c>
      <c r="D81" s="3296" t="s">
        <v>3608</v>
      </c>
      <c r="E81" s="3296">
        <v>62.22</v>
      </c>
      <c r="F81" s="3296" t="s">
        <v>3548</v>
      </c>
      <c r="G81" s="3296" t="s">
        <v>3609</v>
      </c>
      <c r="H81" s="3296" t="s">
        <v>3335</v>
      </c>
      <c r="I81" s="3296" t="s">
        <v>3336</v>
      </c>
      <c r="J81" s="3296">
        <v>3</v>
      </c>
      <c r="K81" s="3292" t="s">
        <v>3337</v>
      </c>
      <c r="L81" s="3292">
        <v>115</v>
      </c>
      <c r="M81" s="3292">
        <v>117</v>
      </c>
      <c r="N81" s="3292">
        <v>119</v>
      </c>
      <c r="O81" s="3292"/>
      <c r="P81" s="3292"/>
      <c r="Q81" s="3292"/>
      <c r="R81" s="3292"/>
      <c r="S81" s="3292"/>
      <c r="T81" s="3328">
        <f t="shared" si="14"/>
        <v>7155.3</v>
      </c>
      <c r="U81" s="3329"/>
      <c r="V81" s="3292">
        <v>45</v>
      </c>
      <c r="W81" s="3292">
        <f>E81*45</f>
        <v>2799.9</v>
      </c>
      <c r="X81" s="3292">
        <v>6</v>
      </c>
      <c r="Y81" s="3292"/>
      <c r="Z81" s="3292"/>
      <c r="AA81" s="3292">
        <v>6</v>
      </c>
    </row>
    <row r="82" spans="1:28" s="3297" customFormat="1">
      <c r="A82" s="3298">
        <v>80</v>
      </c>
      <c r="B82" s="3296" t="s">
        <v>3610</v>
      </c>
      <c r="C82" s="3292" t="s">
        <v>3521</v>
      </c>
      <c r="D82" s="3296" t="s">
        <v>3611</v>
      </c>
      <c r="E82" s="3296">
        <v>70.849999999999994</v>
      </c>
      <c r="F82" s="3296" t="s">
        <v>3548</v>
      </c>
      <c r="G82" s="3296" t="s">
        <v>3612</v>
      </c>
      <c r="H82" s="3296" t="s">
        <v>3335</v>
      </c>
      <c r="I82" s="3296" t="s">
        <v>3336</v>
      </c>
      <c r="J82" s="3296">
        <v>3</v>
      </c>
      <c r="K82" s="3292" t="s">
        <v>3337</v>
      </c>
      <c r="L82" s="3292">
        <v>115</v>
      </c>
      <c r="M82" s="3292">
        <v>120</v>
      </c>
      <c r="N82" s="3292">
        <v>125</v>
      </c>
      <c r="O82" s="3292" t="s">
        <v>3338</v>
      </c>
      <c r="P82" s="3292" t="s">
        <v>3338</v>
      </c>
      <c r="Q82" s="3292" t="s">
        <v>3338</v>
      </c>
      <c r="R82" s="3292" t="s">
        <v>3338</v>
      </c>
      <c r="S82" s="3292" t="s">
        <v>3338</v>
      </c>
      <c r="T82" s="3292">
        <f t="shared" si="14"/>
        <v>8147.7499999999991</v>
      </c>
      <c r="U82" s="3292">
        <f t="shared" si="18"/>
        <v>24443.249999999996</v>
      </c>
      <c r="V82" s="3292">
        <v>45</v>
      </c>
      <c r="W82" s="3292">
        <f>V82*E82</f>
        <v>3188.2499999999995</v>
      </c>
      <c r="X82" s="3292">
        <v>3</v>
      </c>
      <c r="Y82" s="3292" t="s">
        <v>3338</v>
      </c>
      <c r="Z82" s="3292" t="s">
        <v>3338</v>
      </c>
      <c r="AA82" s="3292">
        <v>3</v>
      </c>
    </row>
    <row r="83" spans="1:28" s="3297" customFormat="1">
      <c r="A83" s="3295">
        <v>81</v>
      </c>
      <c r="B83" s="3296" t="s">
        <v>3613</v>
      </c>
      <c r="C83" s="3292" t="s">
        <v>3521</v>
      </c>
      <c r="D83" s="3296" t="s">
        <v>3614</v>
      </c>
      <c r="E83" s="3296">
        <v>103.2</v>
      </c>
      <c r="F83" s="3296" t="s">
        <v>3589</v>
      </c>
      <c r="G83" s="3296" t="s">
        <v>3615</v>
      </c>
      <c r="H83" s="3296" t="s">
        <v>3335</v>
      </c>
      <c r="I83" s="3296" t="s">
        <v>3336</v>
      </c>
      <c r="J83" s="3296">
        <v>3</v>
      </c>
      <c r="K83" s="3292" t="s">
        <v>3337</v>
      </c>
      <c r="L83" s="3292">
        <v>110</v>
      </c>
      <c r="M83" s="3292">
        <v>115</v>
      </c>
      <c r="N83" s="3292">
        <v>120</v>
      </c>
      <c r="O83" s="3292" t="s">
        <v>3338</v>
      </c>
      <c r="P83" s="3292" t="s">
        <v>3338</v>
      </c>
      <c r="Q83" s="3292" t="s">
        <v>3338</v>
      </c>
      <c r="R83" s="3292" t="s">
        <v>3338</v>
      </c>
      <c r="S83" s="3292" t="s">
        <v>3338</v>
      </c>
      <c r="T83" s="3292">
        <f t="shared" si="14"/>
        <v>11352</v>
      </c>
      <c r="U83" s="3292">
        <f t="shared" si="18"/>
        <v>34056</v>
      </c>
      <c r="V83" s="3292">
        <v>45</v>
      </c>
      <c r="W83" s="3292">
        <f>V83*E83</f>
        <v>4644</v>
      </c>
      <c r="X83" s="3292">
        <v>3</v>
      </c>
      <c r="Y83" s="3292" t="s">
        <v>3338</v>
      </c>
      <c r="Z83" s="3292" t="s">
        <v>3338</v>
      </c>
      <c r="AA83" s="3292">
        <v>3</v>
      </c>
    </row>
    <row r="84" spans="1:28" s="3297" customFormat="1">
      <c r="A84" s="3298">
        <v>82</v>
      </c>
      <c r="B84" s="3296" t="s">
        <v>3616</v>
      </c>
      <c r="C84" s="3292" t="s">
        <v>3521</v>
      </c>
      <c r="D84" s="3296" t="s">
        <v>3617</v>
      </c>
      <c r="E84" s="3296">
        <v>837.6</v>
      </c>
      <c r="F84" s="3296" t="s">
        <v>3618</v>
      </c>
      <c r="G84" s="3296" t="s">
        <v>3619</v>
      </c>
      <c r="H84" s="3296" t="s">
        <v>3335</v>
      </c>
      <c r="I84" s="3296" t="s">
        <v>3382</v>
      </c>
      <c r="J84" s="3296">
        <v>6</v>
      </c>
      <c r="K84" s="3292" t="s">
        <v>3337</v>
      </c>
      <c r="L84" s="3292">
        <v>90</v>
      </c>
      <c r="M84" s="3292">
        <v>90</v>
      </c>
      <c r="N84" s="3292">
        <v>90</v>
      </c>
      <c r="O84" s="3292">
        <v>105</v>
      </c>
      <c r="P84" s="3292">
        <v>105</v>
      </c>
      <c r="Q84" s="3292">
        <v>105</v>
      </c>
      <c r="R84" s="3292" t="s">
        <v>3338</v>
      </c>
      <c r="S84" s="3292" t="s">
        <v>3338</v>
      </c>
      <c r="T84" s="3292">
        <f t="shared" si="14"/>
        <v>75384</v>
      </c>
      <c r="U84" s="3292">
        <f t="shared" si="18"/>
        <v>226152</v>
      </c>
      <c r="V84" s="3292">
        <v>22</v>
      </c>
      <c r="W84" s="3292">
        <f>V84*E84</f>
        <v>18427.2</v>
      </c>
      <c r="X84" s="3292">
        <v>3</v>
      </c>
      <c r="Y84" s="3292">
        <v>3</v>
      </c>
      <c r="Z84" s="3292" t="s">
        <v>3338</v>
      </c>
      <c r="AA84" s="3292">
        <v>6</v>
      </c>
      <c r="AB84" s="3297">
        <f>110.25*12*837.6</f>
        <v>1108144.8</v>
      </c>
    </row>
    <row r="85" spans="1:28" s="3319" customFormat="1">
      <c r="A85" s="3315">
        <v>83</v>
      </c>
      <c r="B85" s="3312" t="s">
        <v>3620</v>
      </c>
      <c r="C85" s="3316" t="s">
        <v>3521</v>
      </c>
      <c r="D85" s="3312" t="s">
        <v>3621</v>
      </c>
      <c r="E85" s="3312">
        <v>318.58</v>
      </c>
      <c r="F85" s="3312" t="s">
        <v>3622</v>
      </c>
      <c r="G85" s="3312" t="s">
        <v>3623</v>
      </c>
      <c r="H85" s="3312" t="s">
        <v>3335</v>
      </c>
      <c r="I85" s="3312" t="s">
        <v>3336</v>
      </c>
      <c r="J85" s="3312">
        <v>3</v>
      </c>
      <c r="K85" s="3316" t="s">
        <v>3329</v>
      </c>
      <c r="L85" s="3317" t="s">
        <v>3624</v>
      </c>
      <c r="M85" s="3317" t="s">
        <v>3625</v>
      </c>
      <c r="N85" s="3317" t="s">
        <v>3626</v>
      </c>
      <c r="O85" s="3316" t="s">
        <v>3338</v>
      </c>
      <c r="P85" s="3316" t="s">
        <v>3338</v>
      </c>
      <c r="Q85" s="3316" t="s">
        <v>3338</v>
      </c>
      <c r="R85" s="3316" t="s">
        <v>3338</v>
      </c>
      <c r="S85" s="3316" t="s">
        <v>3338</v>
      </c>
      <c r="T85" s="3316">
        <v>28672.2</v>
      </c>
      <c r="U85" s="3316" t="s">
        <v>3627</v>
      </c>
      <c r="V85" s="3316" t="s">
        <v>3338</v>
      </c>
      <c r="W85" s="3316" t="s">
        <v>3628</v>
      </c>
      <c r="X85" s="3316">
        <v>3</v>
      </c>
      <c r="Y85" s="3316" t="s">
        <v>3338</v>
      </c>
      <c r="Z85" s="3316" t="s">
        <v>3338</v>
      </c>
      <c r="AA85" s="3316">
        <v>3</v>
      </c>
    </row>
    <row r="86" spans="1:28" s="3297" customFormat="1">
      <c r="A86" s="3298">
        <v>84</v>
      </c>
      <c r="B86" s="3296" t="s">
        <v>3629</v>
      </c>
      <c r="C86" s="3292" t="s">
        <v>3521</v>
      </c>
      <c r="D86" s="3296" t="s">
        <v>3630</v>
      </c>
      <c r="E86" s="3296">
        <v>61.57</v>
      </c>
      <c r="F86" s="3296" t="s">
        <v>3631</v>
      </c>
      <c r="G86" s="3296" t="s">
        <v>3632</v>
      </c>
      <c r="H86" s="3296" t="s">
        <v>3335</v>
      </c>
      <c r="I86" s="3296" t="s">
        <v>3336</v>
      </c>
      <c r="J86" s="3296">
        <v>3</v>
      </c>
      <c r="K86" s="3292" t="s">
        <v>3337</v>
      </c>
      <c r="L86" s="3292">
        <v>110</v>
      </c>
      <c r="M86" s="3292">
        <v>113</v>
      </c>
      <c r="N86" s="3292">
        <v>116</v>
      </c>
      <c r="O86" s="3292" t="s">
        <v>3338</v>
      </c>
      <c r="P86" s="3292" t="s">
        <v>3338</v>
      </c>
      <c r="Q86" s="3292" t="s">
        <v>3338</v>
      </c>
      <c r="R86" s="3292" t="s">
        <v>3338</v>
      </c>
      <c r="S86" s="3292" t="s">
        <v>3338</v>
      </c>
      <c r="T86" s="3292">
        <f>E86*L86</f>
        <v>6772.7</v>
      </c>
      <c r="U86" s="3292">
        <f t="shared" ref="U86:U91" si="19">T86*3</f>
        <v>20318.099999999999</v>
      </c>
      <c r="V86" s="3292">
        <v>45</v>
      </c>
      <c r="W86" s="3292">
        <f>V86*E86</f>
        <v>2770.65</v>
      </c>
      <c r="X86" s="3292">
        <v>3</v>
      </c>
      <c r="Y86" s="3292" t="s">
        <v>3338</v>
      </c>
      <c r="Z86" s="3292" t="s">
        <v>3338</v>
      </c>
      <c r="AA86" s="3292">
        <v>3</v>
      </c>
    </row>
    <row r="87" spans="1:28" s="3303" customFormat="1">
      <c r="A87" s="3310">
        <v>85</v>
      </c>
      <c r="B87" s="3301" t="s">
        <v>3633</v>
      </c>
      <c r="C87" s="3302" t="s">
        <v>3573</v>
      </c>
      <c r="D87" s="3301" t="s">
        <v>3634</v>
      </c>
      <c r="E87" s="3301">
        <v>2418.98</v>
      </c>
      <c r="F87" s="3301" t="s">
        <v>3635</v>
      </c>
      <c r="G87" s="3301" t="s">
        <v>3636</v>
      </c>
      <c r="H87" s="3301" t="s">
        <v>3637</v>
      </c>
      <c r="I87" s="3301" t="s">
        <v>3638</v>
      </c>
      <c r="J87" s="3301">
        <v>8</v>
      </c>
      <c r="K87" s="3302" t="s">
        <v>3337</v>
      </c>
      <c r="L87" s="3302">
        <v>55</v>
      </c>
      <c r="M87" s="3302">
        <v>55</v>
      </c>
      <c r="N87" s="3302">
        <v>57.75</v>
      </c>
      <c r="O87" s="3302">
        <v>57.75</v>
      </c>
      <c r="P87" s="3302">
        <v>60.64</v>
      </c>
      <c r="Q87" s="3302">
        <v>60.64</v>
      </c>
      <c r="R87" s="3302">
        <v>63.67</v>
      </c>
      <c r="S87" s="3302">
        <v>63.67</v>
      </c>
      <c r="T87" s="3302">
        <v>139696.1</v>
      </c>
      <c r="U87" s="3302">
        <f>T87*6</f>
        <v>838176.60000000009</v>
      </c>
      <c r="V87" s="3302">
        <v>20</v>
      </c>
      <c r="W87" s="3302">
        <v>48379.6</v>
      </c>
      <c r="X87" s="3302">
        <v>10</v>
      </c>
      <c r="Y87" s="3302"/>
      <c r="Z87" s="3302"/>
      <c r="AA87" s="3302">
        <v>10</v>
      </c>
    </row>
    <row r="88" spans="1:28" s="3297" customFormat="1">
      <c r="A88" s="3298">
        <v>86</v>
      </c>
      <c r="B88" s="3296" t="s">
        <v>3639</v>
      </c>
      <c r="C88" s="3292" t="s">
        <v>3573</v>
      </c>
      <c r="D88" s="3296" t="s">
        <v>3640</v>
      </c>
      <c r="E88" s="3296">
        <v>313.52999999999997</v>
      </c>
      <c r="F88" s="3296" t="s">
        <v>3415</v>
      </c>
      <c r="G88" s="3296" t="s">
        <v>3641</v>
      </c>
      <c r="H88" s="3296" t="s">
        <v>3335</v>
      </c>
      <c r="I88" s="3296" t="s">
        <v>3455</v>
      </c>
      <c r="J88" s="3296">
        <v>5</v>
      </c>
      <c r="K88" s="3292" t="s">
        <v>3337</v>
      </c>
      <c r="L88" s="3292">
        <v>90</v>
      </c>
      <c r="M88" s="3292">
        <v>95</v>
      </c>
      <c r="N88" s="3292">
        <v>98</v>
      </c>
      <c r="O88" s="3292">
        <v>101</v>
      </c>
      <c r="P88" s="3292">
        <v>104</v>
      </c>
      <c r="Q88" s="3292" t="s">
        <v>3338</v>
      </c>
      <c r="R88" s="3292" t="s">
        <v>3338</v>
      </c>
      <c r="S88" s="3292" t="s">
        <v>3338</v>
      </c>
      <c r="T88" s="3292">
        <f t="shared" ref="T88:T96" si="20">E88*L88</f>
        <v>28217.699999999997</v>
      </c>
      <c r="U88" s="3292"/>
      <c r="V88" s="3292">
        <v>20</v>
      </c>
      <c r="W88" s="3292">
        <f t="shared" ref="W88:W93" si="21">V88*E88</f>
        <v>6270.5999999999995</v>
      </c>
      <c r="X88" s="3292">
        <v>6</v>
      </c>
      <c r="Y88" s="3292" t="s">
        <v>3338</v>
      </c>
      <c r="Z88" s="3292" t="s">
        <v>3338</v>
      </c>
      <c r="AA88" s="3292">
        <v>6</v>
      </c>
    </row>
    <row r="89" spans="1:28" s="3297" customFormat="1">
      <c r="A89" s="3295">
        <v>87</v>
      </c>
      <c r="B89" s="3296" t="s">
        <v>3642</v>
      </c>
      <c r="C89" s="3292" t="s">
        <v>3573</v>
      </c>
      <c r="D89" s="3296" t="s">
        <v>3643</v>
      </c>
      <c r="E89" s="3296">
        <v>214.88</v>
      </c>
      <c r="F89" s="3296" t="s">
        <v>3415</v>
      </c>
      <c r="G89" s="3296" t="s">
        <v>3644</v>
      </c>
      <c r="H89" s="3296" t="s">
        <v>3335</v>
      </c>
      <c r="I89" s="3296" t="s">
        <v>3455</v>
      </c>
      <c r="J89" s="3296">
        <v>5</v>
      </c>
      <c r="K89" s="3292" t="s">
        <v>3337</v>
      </c>
      <c r="L89" s="3292">
        <v>90</v>
      </c>
      <c r="M89" s="3292">
        <v>95</v>
      </c>
      <c r="N89" s="3292">
        <v>97</v>
      </c>
      <c r="O89" s="3292">
        <v>99</v>
      </c>
      <c r="P89" s="3292">
        <v>101</v>
      </c>
      <c r="Q89" s="3292" t="s">
        <v>3338</v>
      </c>
      <c r="R89" s="3292" t="s">
        <v>3338</v>
      </c>
      <c r="S89" s="3292" t="s">
        <v>3338</v>
      </c>
      <c r="T89" s="3292">
        <f t="shared" si="20"/>
        <v>19339.2</v>
      </c>
      <c r="U89" s="3292">
        <f t="shared" si="19"/>
        <v>58017.600000000006</v>
      </c>
      <c r="V89" s="3292">
        <v>22</v>
      </c>
      <c r="W89" s="3292">
        <f t="shared" si="21"/>
        <v>4727.3599999999997</v>
      </c>
      <c r="X89" s="3292">
        <v>3</v>
      </c>
      <c r="Y89" s="3292" t="s">
        <v>3338</v>
      </c>
      <c r="Z89" s="3292" t="s">
        <v>3338</v>
      </c>
      <c r="AA89" s="3292">
        <v>3</v>
      </c>
    </row>
    <row r="90" spans="1:28" s="3297" customFormat="1">
      <c r="A90" s="3298">
        <v>88</v>
      </c>
      <c r="B90" s="3296" t="s">
        <v>3645</v>
      </c>
      <c r="C90" s="3292" t="s">
        <v>3573</v>
      </c>
      <c r="D90" s="3296" t="s">
        <v>3646</v>
      </c>
      <c r="E90" s="3296">
        <v>176.33</v>
      </c>
      <c r="F90" s="3296" t="s">
        <v>3415</v>
      </c>
      <c r="G90" s="3296" t="s">
        <v>3647</v>
      </c>
      <c r="H90" s="3296" t="s">
        <v>3335</v>
      </c>
      <c r="I90" s="3296" t="s">
        <v>3336</v>
      </c>
      <c r="J90" s="3296">
        <v>3</v>
      </c>
      <c r="K90" s="3292" t="s">
        <v>3337</v>
      </c>
      <c r="L90" s="3292">
        <v>96</v>
      </c>
      <c r="M90" s="3292">
        <v>97</v>
      </c>
      <c r="N90" s="3292">
        <v>98</v>
      </c>
      <c r="O90" s="3292" t="s">
        <v>3338</v>
      </c>
      <c r="P90" s="3292" t="s">
        <v>3338</v>
      </c>
      <c r="Q90" s="3292" t="s">
        <v>3338</v>
      </c>
      <c r="R90" s="3292" t="s">
        <v>3338</v>
      </c>
      <c r="S90" s="3292" t="s">
        <v>3338</v>
      </c>
      <c r="T90" s="3330">
        <f t="shared" si="20"/>
        <v>16927.68</v>
      </c>
      <c r="U90" s="3292">
        <f t="shared" ref="U90:U94" si="22">T90*4</f>
        <v>67710.720000000001</v>
      </c>
      <c r="V90" s="3292">
        <v>22</v>
      </c>
      <c r="W90" s="3292">
        <f t="shared" si="21"/>
        <v>3879.26</v>
      </c>
      <c r="X90" s="3298" t="s">
        <v>3567</v>
      </c>
      <c r="Y90" s="3292" t="s">
        <v>3338</v>
      </c>
      <c r="Z90" s="3292" t="s">
        <v>3338</v>
      </c>
      <c r="AA90" s="3292">
        <v>4</v>
      </c>
    </row>
    <row r="91" spans="1:28" s="3297" customFormat="1">
      <c r="A91" s="3295">
        <v>89</v>
      </c>
      <c r="B91" s="3296" t="s">
        <v>3648</v>
      </c>
      <c r="C91" s="3292" t="s">
        <v>3573</v>
      </c>
      <c r="D91" s="3296" t="s">
        <v>3649</v>
      </c>
      <c r="E91" s="3296">
        <v>18.46</v>
      </c>
      <c r="F91" s="3296" t="s">
        <v>3415</v>
      </c>
      <c r="G91" s="3296" t="s">
        <v>3650</v>
      </c>
      <c r="H91" s="3296" t="s">
        <v>3335</v>
      </c>
      <c r="I91" s="3296" t="s">
        <v>3336</v>
      </c>
      <c r="J91" s="3296">
        <v>3</v>
      </c>
      <c r="K91" s="3292" t="s">
        <v>3337</v>
      </c>
      <c r="L91" s="3292">
        <v>98</v>
      </c>
      <c r="M91" s="3292">
        <v>100</v>
      </c>
      <c r="N91" s="3292">
        <v>102</v>
      </c>
      <c r="O91" s="3292" t="s">
        <v>3338</v>
      </c>
      <c r="P91" s="3292" t="s">
        <v>3338</v>
      </c>
      <c r="Q91" s="3292" t="s">
        <v>3338</v>
      </c>
      <c r="R91" s="3292" t="s">
        <v>3338</v>
      </c>
      <c r="S91" s="3292" t="s">
        <v>3338</v>
      </c>
      <c r="T91" s="3330">
        <f t="shared" si="20"/>
        <v>1809.0800000000002</v>
      </c>
      <c r="U91" s="3292">
        <f t="shared" si="19"/>
        <v>5427.2400000000007</v>
      </c>
      <c r="V91" s="3292">
        <v>22</v>
      </c>
      <c r="W91" s="3292">
        <f t="shared" si="21"/>
        <v>406.12</v>
      </c>
      <c r="X91" s="3292">
        <v>3</v>
      </c>
      <c r="Y91" s="3292" t="s">
        <v>3338</v>
      </c>
      <c r="Z91" s="3292" t="s">
        <v>3338</v>
      </c>
      <c r="AA91" s="3292">
        <v>3</v>
      </c>
    </row>
    <row r="92" spans="1:28" s="3297" customFormat="1">
      <c r="A92" s="3298">
        <v>90</v>
      </c>
      <c r="B92" s="3296" t="s">
        <v>3651</v>
      </c>
      <c r="C92" s="3292" t="s">
        <v>3573</v>
      </c>
      <c r="D92" s="3296" t="s">
        <v>3652</v>
      </c>
      <c r="E92" s="3296">
        <v>155.97999999999999</v>
      </c>
      <c r="F92" s="3296" t="s">
        <v>3415</v>
      </c>
      <c r="G92" s="3296" t="s">
        <v>3653</v>
      </c>
      <c r="H92" s="3296" t="s">
        <v>3335</v>
      </c>
      <c r="I92" s="3296" t="s">
        <v>3336</v>
      </c>
      <c r="J92" s="3296">
        <v>3</v>
      </c>
      <c r="K92" s="3292" t="s">
        <v>3337</v>
      </c>
      <c r="L92" s="3292">
        <v>85</v>
      </c>
      <c r="M92" s="3292">
        <v>90</v>
      </c>
      <c r="N92" s="3292">
        <v>95</v>
      </c>
      <c r="O92" s="3292" t="s">
        <v>3338</v>
      </c>
      <c r="P92" s="3292" t="s">
        <v>3338</v>
      </c>
      <c r="Q92" s="3292" t="s">
        <v>3338</v>
      </c>
      <c r="R92" s="3292" t="s">
        <v>3338</v>
      </c>
      <c r="S92" s="3292" t="s">
        <v>3338</v>
      </c>
      <c r="T92" s="3330">
        <f t="shared" si="20"/>
        <v>13258.3</v>
      </c>
      <c r="U92" s="3292">
        <f t="shared" si="22"/>
        <v>53033.2</v>
      </c>
      <c r="V92" s="3292">
        <v>22</v>
      </c>
      <c r="W92" s="3292">
        <f t="shared" si="21"/>
        <v>3431.56</v>
      </c>
      <c r="X92" s="3292" t="s">
        <v>3353</v>
      </c>
      <c r="Y92" s="3292" t="s">
        <v>3338</v>
      </c>
      <c r="Z92" s="3292" t="s">
        <v>3338</v>
      </c>
      <c r="AA92" s="3292">
        <v>3</v>
      </c>
    </row>
    <row r="93" spans="1:28" s="3297" customFormat="1">
      <c r="A93" s="3298">
        <v>91</v>
      </c>
      <c r="B93" s="3296" t="s">
        <v>3654</v>
      </c>
      <c r="C93" s="3292" t="s">
        <v>3573</v>
      </c>
      <c r="D93" s="3296" t="s">
        <v>3655</v>
      </c>
      <c r="E93" s="3296">
        <v>673.08</v>
      </c>
      <c r="F93" s="3296" t="s">
        <v>3415</v>
      </c>
      <c r="G93" s="3296" t="s">
        <v>3656</v>
      </c>
      <c r="H93" s="3296" t="s">
        <v>3335</v>
      </c>
      <c r="I93" s="3296" t="s">
        <v>3657</v>
      </c>
      <c r="J93" s="3296">
        <v>8</v>
      </c>
      <c r="K93" s="3292" t="s">
        <v>3337</v>
      </c>
      <c r="L93" s="3292">
        <v>95</v>
      </c>
      <c r="M93" s="3292">
        <v>95</v>
      </c>
      <c r="N93" s="3292">
        <v>95</v>
      </c>
      <c r="O93" s="3292">
        <v>98</v>
      </c>
      <c r="P93" s="3292">
        <v>98</v>
      </c>
      <c r="Q93" s="3292">
        <v>98</v>
      </c>
      <c r="R93" s="3292">
        <v>101</v>
      </c>
      <c r="S93" s="3292">
        <v>101</v>
      </c>
      <c r="T93" s="3330">
        <f t="shared" si="20"/>
        <v>63942.600000000006</v>
      </c>
      <c r="U93" s="3330"/>
      <c r="V93" s="3292">
        <v>10</v>
      </c>
      <c r="W93" s="3292">
        <f t="shared" si="21"/>
        <v>6730.8</v>
      </c>
      <c r="X93" s="3292">
        <v>12</v>
      </c>
      <c r="Y93" s="3292" t="s">
        <v>3338</v>
      </c>
      <c r="Z93" s="3292" t="s">
        <v>3338</v>
      </c>
      <c r="AA93" s="3292">
        <v>12</v>
      </c>
    </row>
    <row r="94" spans="1:28" s="3297" customFormat="1">
      <c r="A94" s="3298">
        <v>92</v>
      </c>
      <c r="B94" s="3296" t="s">
        <v>3658</v>
      </c>
      <c r="C94" s="3292" t="s">
        <v>3573</v>
      </c>
      <c r="D94" s="3296" t="s">
        <v>3659</v>
      </c>
      <c r="E94" s="3296">
        <v>50.04</v>
      </c>
      <c r="F94" s="3296" t="s">
        <v>3415</v>
      </c>
      <c r="G94" s="3296" t="s">
        <v>3660</v>
      </c>
      <c r="H94" s="3296" t="s">
        <v>3335</v>
      </c>
      <c r="I94" s="3296" t="s">
        <v>3336</v>
      </c>
      <c r="J94" s="3296">
        <v>3</v>
      </c>
      <c r="K94" s="3292" t="s">
        <v>3337</v>
      </c>
      <c r="L94" s="3292">
        <v>95</v>
      </c>
      <c r="M94" s="3292">
        <v>100</v>
      </c>
      <c r="N94" s="3292">
        <v>105</v>
      </c>
      <c r="O94" s="3292" t="s">
        <v>3338</v>
      </c>
      <c r="P94" s="3292" t="s">
        <v>3338</v>
      </c>
      <c r="Q94" s="3292" t="s">
        <v>3338</v>
      </c>
      <c r="R94" s="3292" t="s">
        <v>3338</v>
      </c>
      <c r="S94" s="3292" t="s">
        <v>3338</v>
      </c>
      <c r="T94" s="3330">
        <f t="shared" si="20"/>
        <v>4753.8</v>
      </c>
      <c r="U94" s="3330">
        <f t="shared" si="22"/>
        <v>19015.2</v>
      </c>
      <c r="V94" s="3292">
        <v>29</v>
      </c>
      <c r="W94" s="3292">
        <v>4353.4799999999996</v>
      </c>
      <c r="X94" s="3292" t="s">
        <v>3353</v>
      </c>
      <c r="Y94" s="3292" t="s">
        <v>3338</v>
      </c>
      <c r="Z94" s="3292" t="s">
        <v>3338</v>
      </c>
      <c r="AA94" s="3292">
        <v>3</v>
      </c>
    </row>
    <row r="95" spans="1:28" s="3297" customFormat="1">
      <c r="A95" s="3295">
        <v>93</v>
      </c>
      <c r="B95" s="3296" t="s">
        <v>3661</v>
      </c>
      <c r="C95" s="3292" t="s">
        <v>3573</v>
      </c>
      <c r="D95" s="3296" t="s">
        <v>3662</v>
      </c>
      <c r="E95" s="3296">
        <v>380.44</v>
      </c>
      <c r="F95" s="3296" t="s">
        <v>3415</v>
      </c>
      <c r="G95" s="3296" t="s">
        <v>3663</v>
      </c>
      <c r="H95" s="3296" t="s">
        <v>3335</v>
      </c>
      <c r="I95" s="3296" t="s">
        <v>3455</v>
      </c>
      <c r="J95" s="3296">
        <v>5</v>
      </c>
      <c r="K95" s="3292" t="s">
        <v>3337</v>
      </c>
      <c r="L95" s="3292">
        <v>90</v>
      </c>
      <c r="M95" s="3292">
        <v>95</v>
      </c>
      <c r="N95" s="3292">
        <v>100</v>
      </c>
      <c r="O95" s="3292">
        <v>105</v>
      </c>
      <c r="P95" s="3292">
        <v>110</v>
      </c>
      <c r="Q95" s="3292" t="s">
        <v>3338</v>
      </c>
      <c r="R95" s="3292" t="s">
        <v>3338</v>
      </c>
      <c r="S95" s="3292" t="s">
        <v>3338</v>
      </c>
      <c r="T95" s="3330">
        <f t="shared" si="20"/>
        <v>34239.599999999999</v>
      </c>
      <c r="U95" s="3330"/>
      <c r="V95" s="3292">
        <v>22</v>
      </c>
      <c r="W95" s="3292">
        <f>V95*E95</f>
        <v>8369.68</v>
      </c>
      <c r="X95" s="3292">
        <v>6</v>
      </c>
      <c r="Y95" s="3292" t="s">
        <v>3338</v>
      </c>
      <c r="Z95" s="3292" t="s">
        <v>3338</v>
      </c>
      <c r="AA95" s="3292">
        <v>6</v>
      </c>
    </row>
    <row r="96" spans="1:28" s="3297" customFormat="1">
      <c r="A96" s="3298">
        <v>94</v>
      </c>
      <c r="B96" s="3296" t="s">
        <v>3664</v>
      </c>
      <c r="C96" s="3292" t="s">
        <v>3573</v>
      </c>
      <c r="D96" s="3296" t="s">
        <v>3665</v>
      </c>
      <c r="E96" s="3296">
        <v>363.58</v>
      </c>
      <c r="F96" s="3296" t="s">
        <v>3415</v>
      </c>
      <c r="G96" s="3296" t="s">
        <v>3666</v>
      </c>
      <c r="H96" s="3296" t="s">
        <v>3335</v>
      </c>
      <c r="I96" s="3296" t="s">
        <v>3455</v>
      </c>
      <c r="J96" s="3296">
        <v>5</v>
      </c>
      <c r="K96" s="3292" t="s">
        <v>3337</v>
      </c>
      <c r="L96" s="3292">
        <v>92</v>
      </c>
      <c r="M96" s="3292">
        <v>93</v>
      </c>
      <c r="N96" s="3292">
        <v>94</v>
      </c>
      <c r="O96" s="3292">
        <v>95</v>
      </c>
      <c r="P96" s="3292">
        <v>96</v>
      </c>
      <c r="Q96" s="3292" t="s">
        <v>3338</v>
      </c>
      <c r="R96" s="3292" t="s">
        <v>3338</v>
      </c>
      <c r="S96" s="3292" t="s">
        <v>3338</v>
      </c>
      <c r="T96" s="3330">
        <f t="shared" si="20"/>
        <v>33449.360000000001</v>
      </c>
      <c r="U96" s="3330"/>
      <c r="V96" s="3314">
        <v>12</v>
      </c>
      <c r="W96" s="3314">
        <v>4362.96</v>
      </c>
      <c r="X96" s="3292">
        <v>8</v>
      </c>
      <c r="Y96" s="3292" t="s">
        <v>3338</v>
      </c>
      <c r="Z96" s="3292" t="s">
        <v>3338</v>
      </c>
      <c r="AA96" s="3292">
        <v>8</v>
      </c>
    </row>
    <row r="97" spans="1:27" s="3303" customFormat="1">
      <c r="A97" s="3310">
        <v>95</v>
      </c>
      <c r="B97" s="3301" t="s">
        <v>3667</v>
      </c>
      <c r="C97" s="3302" t="s">
        <v>3573</v>
      </c>
      <c r="D97" s="3301" t="s">
        <v>3668</v>
      </c>
      <c r="E97" s="3301">
        <v>2800</v>
      </c>
      <c r="F97" s="3301" t="s">
        <v>3574</v>
      </c>
      <c r="G97" s="3301" t="s">
        <v>3669</v>
      </c>
      <c r="H97" s="3301" t="s">
        <v>3670</v>
      </c>
      <c r="I97" s="3301" t="s">
        <v>3671</v>
      </c>
      <c r="J97" s="3301">
        <v>15</v>
      </c>
      <c r="K97" s="3302" t="s">
        <v>3672</v>
      </c>
      <c r="L97" s="3302">
        <v>32.74</v>
      </c>
      <c r="M97" s="3302">
        <v>32.74</v>
      </c>
      <c r="N97" s="3302">
        <v>32.74</v>
      </c>
      <c r="O97" s="3302">
        <v>32.74</v>
      </c>
      <c r="P97" s="3302">
        <v>32.74</v>
      </c>
      <c r="Q97" s="3302">
        <v>34.520000000000003</v>
      </c>
      <c r="R97" s="3302">
        <v>34.520000000000003</v>
      </c>
      <c r="S97" s="3302">
        <v>34.520000000000003</v>
      </c>
      <c r="T97" s="3331">
        <v>91666.67</v>
      </c>
      <c r="U97" s="3331">
        <v>550000</v>
      </c>
      <c r="V97" s="3332"/>
      <c r="W97" s="3332"/>
      <c r="X97" s="3302"/>
      <c r="Y97" s="3302"/>
      <c r="Z97" s="3302"/>
      <c r="AA97" s="3302"/>
    </row>
    <row r="98" spans="1:27" s="3319" customFormat="1">
      <c r="A98" s="3326">
        <v>96</v>
      </c>
      <c r="B98" s="3312" t="s">
        <v>3673</v>
      </c>
      <c r="C98" s="3316" t="s">
        <v>3573</v>
      </c>
      <c r="D98" s="3312" t="s">
        <v>3674</v>
      </c>
      <c r="E98" s="3312">
        <v>46.82</v>
      </c>
      <c r="F98" s="3312" t="s">
        <v>3415</v>
      </c>
      <c r="G98" s="3312" t="s">
        <v>3675</v>
      </c>
      <c r="H98" s="3312" t="s">
        <v>3335</v>
      </c>
      <c r="I98" s="3312" t="s">
        <v>3336</v>
      </c>
      <c r="J98" s="3312">
        <v>3</v>
      </c>
      <c r="K98" s="3316" t="s">
        <v>3337</v>
      </c>
      <c r="L98" s="3316">
        <v>80</v>
      </c>
      <c r="M98" s="3316">
        <v>85</v>
      </c>
      <c r="N98" s="3316">
        <v>90</v>
      </c>
      <c r="O98" s="3316"/>
      <c r="P98" s="3316"/>
      <c r="Q98" s="3316"/>
      <c r="R98" s="3316"/>
      <c r="S98" s="3316"/>
      <c r="T98" s="3333">
        <f>L98*E98</f>
        <v>3745.6</v>
      </c>
      <c r="U98" s="3333">
        <f>T98*3</f>
        <v>11236.8</v>
      </c>
      <c r="V98" s="3334">
        <v>22</v>
      </c>
      <c r="W98" s="3334">
        <f t="shared" ref="W98:W103" si="23">V98*E98</f>
        <v>1030.04</v>
      </c>
      <c r="X98" s="3316">
        <v>3</v>
      </c>
      <c r="Y98" s="3316"/>
      <c r="Z98" s="3316"/>
      <c r="AA98" s="3316">
        <v>3</v>
      </c>
    </row>
    <row r="99" spans="1:27" s="3297" customFormat="1">
      <c r="A99" s="3295">
        <v>97</v>
      </c>
      <c r="B99" s="3296" t="s">
        <v>3676</v>
      </c>
      <c r="C99" s="3292" t="s">
        <v>3573</v>
      </c>
      <c r="D99" s="3296" t="s">
        <v>3677</v>
      </c>
      <c r="E99" s="3296">
        <v>29.55</v>
      </c>
      <c r="F99" s="3296" t="s">
        <v>3415</v>
      </c>
      <c r="G99" s="3296" t="s">
        <v>3678</v>
      </c>
      <c r="H99" s="3296" t="s">
        <v>3335</v>
      </c>
      <c r="I99" s="3296" t="s">
        <v>3336</v>
      </c>
      <c r="J99" s="3296">
        <v>3</v>
      </c>
      <c r="K99" s="3292" t="s">
        <v>3337</v>
      </c>
      <c r="L99" s="3292">
        <v>95</v>
      </c>
      <c r="M99" s="3292">
        <v>100</v>
      </c>
      <c r="N99" s="3292">
        <v>105</v>
      </c>
      <c r="O99" s="3292" t="s">
        <v>3338</v>
      </c>
      <c r="P99" s="3292" t="s">
        <v>3338</v>
      </c>
      <c r="Q99" s="3292" t="s">
        <v>3338</v>
      </c>
      <c r="R99" s="3292" t="s">
        <v>3338</v>
      </c>
      <c r="S99" s="3292" t="s">
        <v>3338</v>
      </c>
      <c r="T99" s="3330">
        <f>E99*L99</f>
        <v>2807.25</v>
      </c>
      <c r="U99" s="3330">
        <f>T99*4</f>
        <v>11229</v>
      </c>
      <c r="V99" s="3292">
        <v>45</v>
      </c>
      <c r="W99" s="3292">
        <f t="shared" si="23"/>
        <v>1329.75</v>
      </c>
      <c r="X99" s="3292" t="s">
        <v>3679</v>
      </c>
      <c r="Y99" s="3292" t="s">
        <v>3338</v>
      </c>
      <c r="Z99" s="3292" t="s">
        <v>3338</v>
      </c>
      <c r="AA99" s="3292">
        <v>2</v>
      </c>
    </row>
    <row r="100" spans="1:27" s="3324" customFormat="1">
      <c r="A100" s="3320">
        <v>98</v>
      </c>
      <c r="B100" s="3321" t="s">
        <v>3680</v>
      </c>
      <c r="C100" s="3322" t="s">
        <v>3573</v>
      </c>
      <c r="D100" s="3321" t="s">
        <v>3681</v>
      </c>
      <c r="E100" s="3321">
        <v>71.25</v>
      </c>
      <c r="F100" s="3321" t="s">
        <v>3415</v>
      </c>
      <c r="G100" s="3321" t="s">
        <v>3682</v>
      </c>
      <c r="H100" s="3321" t="s">
        <v>3335</v>
      </c>
      <c r="I100" s="3321" t="s">
        <v>3336</v>
      </c>
      <c r="J100" s="3321">
        <v>3</v>
      </c>
      <c r="K100" s="3322" t="s">
        <v>3337</v>
      </c>
      <c r="L100" s="3322">
        <v>93</v>
      </c>
      <c r="M100" s="3322">
        <v>96</v>
      </c>
      <c r="N100" s="3322">
        <v>99</v>
      </c>
      <c r="O100" s="3322" t="s">
        <v>3338</v>
      </c>
      <c r="P100" s="3322" t="s">
        <v>3338</v>
      </c>
      <c r="Q100" s="3322" t="s">
        <v>3338</v>
      </c>
      <c r="R100" s="3322" t="s">
        <v>3338</v>
      </c>
      <c r="S100" s="3322" t="s">
        <v>3338</v>
      </c>
      <c r="T100" s="3335">
        <f>E100*L100</f>
        <v>6626.25</v>
      </c>
      <c r="U100" s="3335">
        <f>T100*4</f>
        <v>26505</v>
      </c>
      <c r="V100" s="3292">
        <v>22</v>
      </c>
      <c r="W100" s="3322">
        <f t="shared" si="23"/>
        <v>1567.5</v>
      </c>
      <c r="X100" s="3322" t="s">
        <v>3679</v>
      </c>
      <c r="Y100" s="3322" t="s">
        <v>3338</v>
      </c>
      <c r="Z100" s="3322" t="s">
        <v>3338</v>
      </c>
      <c r="AA100" s="3322">
        <v>2</v>
      </c>
    </row>
    <row r="101" spans="1:27" s="3324" customFormat="1">
      <c r="A101" s="3336">
        <v>99</v>
      </c>
      <c r="B101" s="3321" t="s">
        <v>3683</v>
      </c>
      <c r="C101" s="3322" t="s">
        <v>3573</v>
      </c>
      <c r="D101" s="3321" t="s">
        <v>3684</v>
      </c>
      <c r="E101" s="3321">
        <v>628.11</v>
      </c>
      <c r="F101" s="3321" t="s">
        <v>3415</v>
      </c>
      <c r="G101" s="3321" t="s">
        <v>3685</v>
      </c>
      <c r="H101" s="3321" t="s">
        <v>3335</v>
      </c>
      <c r="I101" s="3321" t="s">
        <v>3382</v>
      </c>
      <c r="J101" s="3321">
        <v>6</v>
      </c>
      <c r="K101" s="3322" t="s">
        <v>3337</v>
      </c>
      <c r="L101" s="3322">
        <v>90</v>
      </c>
      <c r="M101" s="3322">
        <v>90</v>
      </c>
      <c r="N101" s="3322">
        <v>95</v>
      </c>
      <c r="O101" s="3322">
        <v>98</v>
      </c>
      <c r="P101" s="3322">
        <v>101</v>
      </c>
      <c r="Q101" s="3322">
        <v>104</v>
      </c>
      <c r="R101" s="3322" t="s">
        <v>3338</v>
      </c>
      <c r="S101" s="3322" t="s">
        <v>3338</v>
      </c>
      <c r="T101" s="3335">
        <f>E101*L101</f>
        <v>56529.9</v>
      </c>
      <c r="U101" s="3335">
        <f>T101*6</f>
        <v>339179.4</v>
      </c>
      <c r="V101" s="3292">
        <v>22</v>
      </c>
      <c r="W101" s="3322">
        <f t="shared" si="23"/>
        <v>13818.42</v>
      </c>
      <c r="X101" s="3322" t="s">
        <v>3338</v>
      </c>
      <c r="Y101" s="3322" t="s">
        <v>3338</v>
      </c>
      <c r="Z101" s="3322" t="s">
        <v>3338</v>
      </c>
      <c r="AA101" s="3322">
        <v>0</v>
      </c>
    </row>
    <row r="102" spans="1:27" s="3297" customFormat="1">
      <c r="A102" s="3298">
        <v>100</v>
      </c>
      <c r="B102" s="3296" t="s">
        <v>3686</v>
      </c>
      <c r="C102" s="3292" t="s">
        <v>3573</v>
      </c>
      <c r="D102" s="3296" t="s">
        <v>3687</v>
      </c>
      <c r="E102" s="3296">
        <v>904.37</v>
      </c>
      <c r="F102" s="3296" t="s">
        <v>3415</v>
      </c>
      <c r="G102" s="3296" t="s">
        <v>3688</v>
      </c>
      <c r="H102" s="3296" t="s">
        <v>3335</v>
      </c>
      <c r="I102" s="3296" t="s">
        <v>3657</v>
      </c>
      <c r="J102" s="3296">
        <v>8</v>
      </c>
      <c r="K102" s="3292" t="s">
        <v>3337</v>
      </c>
      <c r="L102" s="3292">
        <v>95</v>
      </c>
      <c r="M102" s="3292">
        <v>95</v>
      </c>
      <c r="N102" s="3292">
        <v>95</v>
      </c>
      <c r="O102" s="3292">
        <v>98</v>
      </c>
      <c r="P102" s="3292">
        <v>98</v>
      </c>
      <c r="Q102" s="3292">
        <v>98</v>
      </c>
      <c r="R102" s="3292">
        <v>101</v>
      </c>
      <c r="S102" s="3292">
        <v>101</v>
      </c>
      <c r="T102" s="3330">
        <f>E102*L102</f>
        <v>85915.15</v>
      </c>
      <c r="U102" s="3330"/>
      <c r="V102" s="3292">
        <v>10</v>
      </c>
      <c r="W102" s="3292">
        <f t="shared" si="23"/>
        <v>9043.7000000000007</v>
      </c>
      <c r="X102" s="3292">
        <v>12</v>
      </c>
      <c r="Y102" s="3292" t="s">
        <v>3338</v>
      </c>
      <c r="Z102" s="3292" t="s">
        <v>3338</v>
      </c>
      <c r="AA102" s="3292">
        <v>12</v>
      </c>
    </row>
    <row r="103" spans="1:27" s="3297" customFormat="1">
      <c r="A103" s="3295">
        <v>101</v>
      </c>
      <c r="B103" s="3296" t="s">
        <v>3689</v>
      </c>
      <c r="C103" s="3292" t="s">
        <v>3573</v>
      </c>
      <c r="D103" s="3296" t="s">
        <v>3690</v>
      </c>
      <c r="E103" s="3296">
        <v>157.56</v>
      </c>
      <c r="F103" s="3296" t="s">
        <v>3415</v>
      </c>
      <c r="G103" s="3296" t="s">
        <v>3691</v>
      </c>
      <c r="H103" s="3296" t="s">
        <v>3335</v>
      </c>
      <c r="I103" s="3296" t="s">
        <v>3692</v>
      </c>
      <c r="J103" s="3296">
        <v>4</v>
      </c>
      <c r="K103" s="3292" t="s">
        <v>3337</v>
      </c>
      <c r="L103" s="3292">
        <v>95</v>
      </c>
      <c r="M103" s="3292">
        <v>98</v>
      </c>
      <c r="N103" s="3292">
        <v>101</v>
      </c>
      <c r="O103" s="3292">
        <v>104</v>
      </c>
      <c r="P103" s="3292" t="s">
        <v>3338</v>
      </c>
      <c r="Q103" s="3292" t="s">
        <v>3338</v>
      </c>
      <c r="R103" s="3292" t="s">
        <v>3338</v>
      </c>
      <c r="S103" s="3292" t="s">
        <v>3338</v>
      </c>
      <c r="T103" s="3330">
        <f>E103*L103</f>
        <v>14968.2</v>
      </c>
      <c r="U103" s="3330">
        <f>T103*3</f>
        <v>44904.600000000006</v>
      </c>
      <c r="V103" s="3292">
        <v>22</v>
      </c>
      <c r="W103" s="3292">
        <f t="shared" si="23"/>
        <v>3466.32</v>
      </c>
      <c r="X103" s="3292">
        <v>3</v>
      </c>
      <c r="Y103" s="3292" t="s">
        <v>3338</v>
      </c>
      <c r="Z103" s="3292" t="s">
        <v>3338</v>
      </c>
      <c r="AA103" s="3292">
        <v>3</v>
      </c>
    </row>
    <row r="104" spans="1:27" s="3297" customFormat="1">
      <c r="A104" s="3298">
        <v>102</v>
      </c>
      <c r="B104" s="3337" t="s">
        <v>3693</v>
      </c>
      <c r="C104" s="3338" t="s">
        <v>3573</v>
      </c>
      <c r="D104" s="3337" t="s">
        <v>3694</v>
      </c>
      <c r="E104" s="3337">
        <v>150.38</v>
      </c>
      <c r="F104" s="3337" t="s">
        <v>3415</v>
      </c>
      <c r="G104" s="3337" t="s">
        <v>3695</v>
      </c>
      <c r="H104" s="3337" t="s">
        <v>3335</v>
      </c>
      <c r="I104" s="3337" t="s">
        <v>3336</v>
      </c>
      <c r="J104" s="3337">
        <v>3</v>
      </c>
      <c r="K104" s="3338" t="s">
        <v>3337</v>
      </c>
      <c r="L104" s="3338">
        <v>95</v>
      </c>
      <c r="M104" s="3338">
        <v>100</v>
      </c>
      <c r="N104" s="3338">
        <v>105</v>
      </c>
      <c r="O104" s="3338" t="s">
        <v>3338</v>
      </c>
      <c r="P104" s="3338" t="s">
        <v>3338</v>
      </c>
      <c r="Q104" s="3338" t="s">
        <v>3338</v>
      </c>
      <c r="R104" s="3338" t="s">
        <v>3338</v>
      </c>
      <c r="S104" s="3338" t="s">
        <v>3338</v>
      </c>
      <c r="T104" s="3339">
        <f>L104*E104</f>
        <v>14286.1</v>
      </c>
      <c r="U104" s="3339">
        <f>T104*3</f>
        <v>42858.3</v>
      </c>
      <c r="V104" s="3338">
        <v>22</v>
      </c>
      <c r="W104" s="3338">
        <v>3308.36</v>
      </c>
      <c r="X104" s="3338" t="s">
        <v>3696</v>
      </c>
      <c r="Y104" s="3338" t="s">
        <v>3679</v>
      </c>
      <c r="Z104" s="3292" t="s">
        <v>3338</v>
      </c>
      <c r="AA104" s="3338">
        <v>6</v>
      </c>
    </row>
    <row r="105" spans="1:27">
      <c r="A105" s="3340"/>
      <c r="T105" s="3340">
        <f>SUM(T4:T104)</f>
        <v>3332655.7300000014</v>
      </c>
    </row>
    <row r="106" spans="1:27">
      <c r="T106" s="3340">
        <f>T105*12</f>
        <v>39991868.76000002</v>
      </c>
    </row>
  </sheetData>
  <mergeCells count="3">
    <mergeCell ref="A1:H1"/>
    <mergeCell ref="K1:W1"/>
    <mergeCell ref="X1:AA1"/>
  </mergeCells>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361" t="str">
        <f>IF(项目基本情况!B9="房地产市场价值","估价结果一览表","结果表-2")</f>
        <v>结果表-2</v>
      </c>
      <c r="B1" s="3361"/>
      <c r="C1" s="3361"/>
      <c r="D1" s="3361"/>
      <c r="E1" s="3361"/>
      <c r="F1" s="3361"/>
      <c r="G1" s="3361"/>
      <c r="H1" s="3361"/>
      <c r="I1" s="3361"/>
    </row>
    <row r="2" spans="1:9" ht="30" customHeight="1" thickTop="1">
      <c r="A2" s="3362" t="s">
        <v>1546</v>
      </c>
      <c r="B2" s="3362" t="s">
        <v>1547</v>
      </c>
      <c r="C2" s="3362" t="s">
        <v>1548</v>
      </c>
      <c r="D2" s="3362" t="str">
        <f>结果表!D116</f>
        <v>出让国有建设用地使用权价值</v>
      </c>
      <c r="E2" s="3362"/>
      <c r="F2" s="3362" t="str">
        <f>结果表!F116</f>
        <v>在建建筑物价值</v>
      </c>
      <c r="G2" s="3362"/>
      <c r="H2" s="3362" t="str">
        <f>IF(项目基本情况!B9="房地产市场价值","房地产市场价值","房地产价值")</f>
        <v>房地产价值</v>
      </c>
      <c r="I2" s="3362"/>
    </row>
    <row r="3" spans="1:9" ht="15">
      <c r="A3" s="3363"/>
      <c r="B3" s="3363"/>
      <c r="C3" s="3363"/>
      <c r="D3" s="963" t="s">
        <v>1543</v>
      </c>
      <c r="E3" s="963" t="s">
        <v>1549</v>
      </c>
      <c r="F3" s="963" t="s">
        <v>1543</v>
      </c>
      <c r="G3" s="963" t="s">
        <v>1544</v>
      </c>
      <c r="H3" s="963" t="s">
        <v>1543</v>
      </c>
      <c r="I3" s="963" t="s">
        <v>1544</v>
      </c>
    </row>
    <row r="4" spans="1:9" ht="15">
      <c r="A4" s="1660" t="str">
        <f>项目基本情况!S2</f>
        <v>房地产</v>
      </c>
      <c r="B4" s="963">
        <f>项目基本情况!C17</f>
        <v>69898.900000000009</v>
      </c>
      <c r="C4" s="963">
        <f>项目基本情况!C18</f>
        <v>20467.919999999998</v>
      </c>
      <c r="D4" s="963">
        <f ca="1">结果表!D118</f>
        <v>7626</v>
      </c>
      <c r="E4" s="963">
        <f ca="1">结果表!E118</f>
        <v>1091</v>
      </c>
      <c r="F4" s="963">
        <f ca="1">结果表!F118</f>
        <v>39448</v>
      </c>
      <c r="G4" s="963">
        <f ca="1">结果表!G118</f>
        <v>5644</v>
      </c>
      <c r="H4" s="963">
        <f ca="1">结果表!H118</f>
        <v>47074</v>
      </c>
      <c r="I4" s="963">
        <f ca="1">结果表!I118</f>
        <v>6735</v>
      </c>
    </row>
    <row r="5" spans="1:9" ht="30" customHeight="1">
      <c r="A5" s="3363" t="s">
        <v>1545</v>
      </c>
      <c r="B5" s="3363"/>
      <c r="C5" s="3363"/>
      <c r="D5" s="3364" t="str">
        <f ca="1">结果表!D119</f>
        <v>柒仟陆佰贰拾陆万元整</v>
      </c>
      <c r="E5" s="3364"/>
      <c r="F5" s="3364" t="str">
        <f ca="1">结果表!F119</f>
        <v>叁亿玖仟肆佰肆拾捌万元整</v>
      </c>
      <c r="G5" s="3364"/>
      <c r="H5" s="3364" t="str">
        <f ca="1">结果表!H119</f>
        <v>肆亿柒仟零柒拾肆万元整</v>
      </c>
      <c r="I5" s="3364"/>
    </row>
    <row r="6" spans="1:9" ht="15.75">
      <c r="A6" s="3365" t="str">
        <f>结果表!A120</f>
        <v>估价师知悉的法定优先受偿款</v>
      </c>
      <c r="B6" s="3365"/>
      <c r="C6" s="3365"/>
      <c r="D6" s="3365">
        <f>结果表!D120</f>
        <v>0</v>
      </c>
      <c r="E6" s="3365"/>
      <c r="F6" s="3365"/>
      <c r="G6" s="3365"/>
      <c r="H6" s="3365"/>
      <c r="I6" s="3365"/>
    </row>
    <row r="7" spans="1:9" ht="15">
      <c r="A7" s="3363" t="s">
        <v>1545</v>
      </c>
      <c r="B7" s="3363"/>
      <c r="C7" s="3363"/>
      <c r="D7" s="3366" t="str">
        <f>结果表!D121</f>
        <v>零元整</v>
      </c>
      <c r="E7" s="3367"/>
      <c r="F7" s="3367"/>
      <c r="G7" s="3367"/>
      <c r="H7" s="3367"/>
      <c r="I7" s="3368"/>
    </row>
    <row r="8" spans="1:9" ht="15.75">
      <c r="A8" s="3365" t="str">
        <f>结果表!A122</f>
        <v>房地产抵押价值</v>
      </c>
      <c r="B8" s="3365"/>
      <c r="C8" s="3365"/>
      <c r="D8" s="3365">
        <f ca="1">结果表!D122</f>
        <v>47074</v>
      </c>
      <c r="E8" s="3365"/>
      <c r="F8" s="3365"/>
      <c r="G8" s="3365"/>
      <c r="H8" s="3365"/>
      <c r="I8" s="3365"/>
    </row>
    <row r="9" spans="1:9" ht="15">
      <c r="A9" s="3363" t="s">
        <v>1545</v>
      </c>
      <c r="B9" s="3363"/>
      <c r="C9" s="3363"/>
      <c r="D9" s="3364" t="str">
        <f ca="1">结果表!D123</f>
        <v>肆亿柒仟零柒拾肆万元整</v>
      </c>
      <c r="E9" s="3364"/>
      <c r="F9" s="3364"/>
      <c r="G9" s="3364"/>
      <c r="H9" s="3364"/>
      <c r="I9" s="3364"/>
    </row>
    <row r="10" spans="1:9" ht="15.75">
      <c r="A10" s="3365" t="str">
        <f>结果表!A124</f>
        <v/>
      </c>
      <c r="B10" s="3365"/>
      <c r="C10" s="3365"/>
      <c r="D10" s="3365" t="str">
        <f>结果表!D124</f>
        <v>——</v>
      </c>
      <c r="E10" s="3365"/>
      <c r="F10" s="3365"/>
      <c r="G10" s="3365"/>
      <c r="H10" s="3365"/>
      <c r="I10" s="3365"/>
    </row>
    <row r="11" spans="1:9" ht="15">
      <c r="A11" s="3363" t="s">
        <v>1545</v>
      </c>
      <c r="B11" s="3363"/>
      <c r="C11" s="3363"/>
      <c r="D11" s="3364" t="e">
        <f>结果表!D125</f>
        <v>#VALUE!</v>
      </c>
      <c r="E11" s="3364"/>
      <c r="F11" s="3364"/>
      <c r="G11" s="3364"/>
      <c r="H11" s="3364"/>
      <c r="I11" s="3364"/>
    </row>
    <row r="12" spans="1:9" ht="15.75">
      <c r="A12" s="3365" t="str">
        <f>结果表!A126</f>
        <v/>
      </c>
      <c r="B12" s="3365"/>
      <c r="C12" s="3365"/>
      <c r="D12" s="3365" t="str">
        <f>结果表!D126</f>
        <v>——</v>
      </c>
      <c r="E12" s="3365"/>
      <c r="F12" s="3365"/>
      <c r="G12" s="3365"/>
      <c r="H12" s="3365"/>
      <c r="I12" s="3365"/>
    </row>
    <row r="13" spans="1:9" ht="15.75" thickBot="1">
      <c r="A13" s="3369" t="s">
        <v>1545</v>
      </c>
      <c r="B13" s="3369"/>
      <c r="C13" s="3369"/>
      <c r="D13" s="3370" t="e">
        <f>结果表!D127</f>
        <v>#VALUE!</v>
      </c>
      <c r="E13" s="3370"/>
      <c r="F13" s="3370"/>
      <c r="G13" s="3370"/>
      <c r="H13" s="3370"/>
      <c r="I13" s="3370"/>
    </row>
    <row r="14" spans="1:9" ht="15" thickTop="1">
      <c r="A14" s="3371" t="s">
        <v>1550</v>
      </c>
      <c r="B14" s="3371"/>
      <c r="C14" s="3371"/>
      <c r="D14" s="3371"/>
      <c r="E14" s="3371"/>
      <c r="F14" s="3371"/>
      <c r="G14" s="3371"/>
      <c r="H14" s="3371"/>
      <c r="I14" s="3371"/>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372" t="s">
        <v>1567</v>
      </c>
      <c r="B1" s="3372"/>
      <c r="C1" s="3372"/>
      <c r="D1" s="3372"/>
    </row>
    <row r="2" spans="1:4" ht="18">
      <c r="A2" s="3373" t="s">
        <v>1551</v>
      </c>
      <c r="B2" s="3373"/>
      <c r="C2" s="3373"/>
      <c r="D2" s="3373"/>
    </row>
    <row r="3" spans="1:4" ht="18.75">
      <c r="A3" s="1664" t="s">
        <v>1552</v>
      </c>
      <c r="B3" s="1664" t="s">
        <v>1553</v>
      </c>
      <c r="C3" s="1664" t="s">
        <v>1554</v>
      </c>
      <c r="D3" s="1664" t="s">
        <v>1555</v>
      </c>
    </row>
    <row r="4" spans="1:4" ht="56.25" customHeight="1">
      <c r="A4" s="1665">
        <f>项目基本情况!B4</f>
        <v>0</v>
      </c>
      <c r="B4" s="1666">
        <f>项目基本情况!C4</f>
        <v>0</v>
      </c>
      <c r="C4" s="1667"/>
      <c r="D4" s="1668" t="s">
        <v>1556</v>
      </c>
    </row>
    <row r="5" spans="1:4" ht="56.25" customHeight="1">
      <c r="A5" s="1665">
        <f>项目基本情况!D4</f>
        <v>0</v>
      </c>
      <c r="B5" s="1666">
        <f>项目基本情况!E4</f>
        <v>0</v>
      </c>
      <c r="C5" s="1669"/>
      <c r="D5" s="1668" t="s">
        <v>1556</v>
      </c>
    </row>
    <row r="6" spans="1:4" ht="18">
      <c r="A6" s="3373" t="s">
        <v>1557</v>
      </c>
      <c r="B6" s="3373"/>
      <c r="C6" s="3373"/>
      <c r="D6" s="3373"/>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374" t="s">
        <v>1560</v>
      </c>
      <c r="B11" s="3375"/>
      <c r="C11" s="3375"/>
      <c r="D11" s="3375"/>
    </row>
    <row r="12" spans="1:4" ht="15.75">
      <c r="A12" s="33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76"/>
      <c r="C12" s="3376"/>
      <c r="D12" s="3376"/>
    </row>
    <row r="13" spans="1:4" ht="30" customHeight="1">
      <c r="A13" s="33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6"/>
      <c r="C13" s="3376"/>
      <c r="D13" s="3376"/>
    </row>
    <row r="14" spans="1:4" ht="15.75" customHeight="1">
      <c r="A14" s="3375" t="str">
        <f>IF(项目基本情况!B8="抵押","4.本次评估估价师所知悉的法定优先受偿款情况说明如下：","——")</f>
        <v>4.本次评估估价师所知悉的法定优先受偿款情况说明如下：</v>
      </c>
      <c r="B14" s="3376"/>
      <c r="C14" s="3376"/>
      <c r="D14" s="3376"/>
    </row>
    <row r="15" spans="1:4" ht="42" customHeight="1">
      <c r="A15" s="33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75"/>
      <c r="C15" s="3375"/>
      <c r="D15" s="3375"/>
    </row>
    <row r="16" spans="1:4" ht="30" customHeight="1">
      <c r="A16" s="3378" t="s">
        <v>1561</v>
      </c>
      <c r="B16" s="3378"/>
      <c r="C16" s="3378"/>
      <c r="D16" s="3378"/>
    </row>
    <row r="17" spans="1:4" ht="144" customHeight="1">
      <c r="A17" s="3378" t="s">
        <v>1562</v>
      </c>
      <c r="B17" s="3378"/>
      <c r="C17" s="3378"/>
      <c r="D17" s="3378"/>
    </row>
    <row r="18" spans="1:4" ht="15.75" customHeight="1">
      <c r="A18" s="3375" t="str">
        <f>IF(项目基本情况!B8="抵押",结果表!K120,"——")</f>
        <v>故，本次评估不存在估价师知悉的法定优先受偿款</v>
      </c>
      <c r="B18" s="3375"/>
      <c r="C18" s="3375"/>
      <c r="D18" s="3375"/>
    </row>
    <row r="19" spans="1:4" ht="46.5" customHeight="1">
      <c r="A19" s="33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5"/>
      <c r="C19" s="3375"/>
      <c r="D19" s="3375"/>
    </row>
    <row r="20" spans="1:4" ht="57.75" customHeight="1">
      <c r="A20" s="33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5"/>
      <c r="C20" s="3375"/>
      <c r="D20" s="3375"/>
    </row>
    <row r="21" spans="1:4" ht="57.75" customHeight="1">
      <c r="A21" s="33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9"/>
      <c r="C21" s="3379"/>
      <c r="D21" s="3379"/>
    </row>
    <row r="22" spans="1:4" ht="18.75" customHeight="1">
      <c r="A22" s="3380" t="s">
        <v>1563</v>
      </c>
      <c r="B22" s="3380"/>
      <c r="C22" s="3380"/>
      <c r="D22" s="3380"/>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377">
        <v>42551</v>
      </c>
      <c r="D31" s="337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386" t="s">
        <v>1574</v>
      </c>
      <c r="B15" s="3381" t="s">
        <v>136</v>
      </c>
      <c r="C15" s="3382"/>
    </row>
    <row r="16" spans="1:7" ht="13.5">
      <c r="A16" s="3387"/>
      <c r="B16" s="3381" t="s">
        <v>69</v>
      </c>
      <c r="C16" s="3382"/>
    </row>
    <row r="17" spans="1:3" ht="13.5">
      <c r="A17" s="3387"/>
      <c r="B17" s="3384" t="s">
        <v>1575</v>
      </c>
      <c r="C17" s="1687" t="s">
        <v>1574</v>
      </c>
    </row>
    <row r="18" spans="1:3" ht="13.5">
      <c r="A18" s="3387"/>
      <c r="B18" s="3384"/>
      <c r="C18" s="1687" t="s">
        <v>1576</v>
      </c>
    </row>
    <row r="19" spans="1:3" ht="13.5">
      <c r="A19" s="3387"/>
      <c r="B19" s="3384"/>
      <c r="C19" s="1687" t="s">
        <v>1577</v>
      </c>
    </row>
    <row r="20" spans="1:3" ht="13.5">
      <c r="A20" s="3388"/>
      <c r="B20" s="3383" t="s">
        <v>1578</v>
      </c>
      <c r="C20" s="3382"/>
    </row>
    <row r="21" spans="1:3" ht="13.5">
      <c r="A21" s="1688" t="s">
        <v>1579</v>
      </c>
      <c r="B21" s="1689"/>
      <c r="C21" s="1690"/>
    </row>
    <row r="22" spans="1:3" ht="13.5">
      <c r="A22" s="3385" t="s">
        <v>1580</v>
      </c>
      <c r="B22" s="3383" t="s">
        <v>1581</v>
      </c>
      <c r="C22" s="3382"/>
    </row>
    <row r="23" spans="1:3" ht="13.5">
      <c r="A23" s="3385"/>
      <c r="B23" s="3383" t="s">
        <v>1582</v>
      </c>
      <c r="C23" s="3382"/>
    </row>
    <row r="24" spans="1:3" ht="13.5">
      <c r="A24" s="3385"/>
      <c r="B24" s="3383" t="s">
        <v>1583</v>
      </c>
      <c r="C24" s="3382"/>
    </row>
    <row r="25" spans="1:3" ht="13.5">
      <c r="A25" s="3385"/>
      <c r="B25" s="3384" t="s">
        <v>1584</v>
      </c>
      <c r="C25" s="1687" t="s">
        <v>1585</v>
      </c>
    </row>
    <row r="26" spans="1:3" ht="13.5">
      <c r="A26" s="3385"/>
      <c r="B26" s="3384"/>
      <c r="C26" s="1687" t="s">
        <v>1586</v>
      </c>
    </row>
    <row r="27" spans="1:3" ht="13.5">
      <c r="A27" s="3385"/>
      <c r="B27" s="3384"/>
      <c r="C27" s="1687" t="s">
        <v>1587</v>
      </c>
    </row>
    <row r="28" spans="1:3" ht="13.5">
      <c r="A28" s="3385"/>
      <c r="B28" s="3384"/>
      <c r="C28" s="1687" t="s">
        <v>1588</v>
      </c>
    </row>
    <row r="29" spans="1:3" ht="13.5">
      <c r="A29" s="3385"/>
      <c r="B29" s="3384"/>
      <c r="C29" s="1687" t="s">
        <v>1589</v>
      </c>
    </row>
    <row r="30" spans="1:3" ht="13.5">
      <c r="A30" s="3385"/>
      <c r="B30" s="3384"/>
      <c r="C30" s="1687" t="s">
        <v>1590</v>
      </c>
    </row>
    <row r="31" spans="1:3" ht="13.5">
      <c r="A31" s="3385"/>
      <c r="B31" s="3384"/>
      <c r="C31" s="1687" t="s">
        <v>1591</v>
      </c>
    </row>
    <row r="32" spans="1:3" ht="13.5">
      <c r="A32" s="3385"/>
      <c r="B32" s="3384"/>
      <c r="C32" s="1687" t="s">
        <v>1592</v>
      </c>
    </row>
    <row r="33" spans="1:3" ht="13.5">
      <c r="A33" s="3385"/>
      <c r="B33" s="3384"/>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2822</v>
      </c>
      <c r="B2" s="2532">
        <f ca="1">TODAY()</f>
        <v>44557</v>
      </c>
      <c r="C2" s="2533" t="s">
        <v>2823</v>
      </c>
      <c r="D2" s="2533"/>
      <c r="E2" s="2533"/>
      <c r="F2" s="2529"/>
      <c r="G2" s="2529"/>
      <c r="H2" s="2529"/>
    </row>
    <row r="3" spans="1:8" ht="24" customHeight="1">
      <c r="A3" s="2534" t="s">
        <v>2824</v>
      </c>
      <c r="B3" s="2535" t="s">
        <v>2825</v>
      </c>
      <c r="C3" s="2535" t="s">
        <v>2826</v>
      </c>
      <c r="D3" s="2536" t="s">
        <v>2827</v>
      </c>
      <c r="E3" s="2537" t="s">
        <v>2828</v>
      </c>
      <c r="F3" s="1444" t="s">
        <v>2829</v>
      </c>
      <c r="G3" s="2535" t="s">
        <v>2826</v>
      </c>
      <c r="H3" s="2536" t="s">
        <v>2830</v>
      </c>
    </row>
    <row r="4" spans="1:8" ht="24" customHeight="1">
      <c r="A4" s="1444" t="s">
        <v>2831</v>
      </c>
      <c r="B4" s="1444">
        <f ca="1">IF(C4&lt;B2,"已过期",1119970066)</f>
        <v>1119970066</v>
      </c>
      <c r="C4" s="2538">
        <v>44876</v>
      </c>
      <c r="D4" s="2539" t="str">
        <f ca="1">A4&amp;"（注册号："&amp;B4&amp;"）"</f>
        <v>梁津（注册号：1119970066）</v>
      </c>
      <c r="E4" s="2540" t="s">
        <v>2831</v>
      </c>
      <c r="F4" s="1444">
        <f ca="1">IF(G4&lt;B2,"已过期",96010014)</f>
        <v>96010014</v>
      </c>
      <c r="G4" s="2541">
        <v>47118</v>
      </c>
      <c r="H4" s="2542" t="str">
        <f ca="1">E4&amp;"（注册号："&amp;F4&amp;"）"</f>
        <v>梁津（注册号：96010014）</v>
      </c>
    </row>
    <row r="5" spans="1:8" ht="24" customHeight="1">
      <c r="A5" s="1444" t="s">
        <v>2832</v>
      </c>
      <c r="B5" s="1444">
        <f ca="1">IF(C5&lt;B2,"已过期",1119970111)</f>
        <v>1119970111</v>
      </c>
      <c r="C5" s="2538">
        <v>44876</v>
      </c>
      <c r="D5" s="2539" t="str">
        <f t="shared" ref="D5:D15" ca="1" si="0">A5&amp;"（注册号："&amp;B5&amp;"）"</f>
        <v>叶凌（注册号：1119970111）</v>
      </c>
      <c r="E5" s="2540" t="s">
        <v>2832</v>
      </c>
      <c r="F5" s="1444">
        <f ca="1">IF(G5&lt;B2,"已过期",94010078)</f>
        <v>94010078</v>
      </c>
      <c r="G5" s="2541">
        <v>46387</v>
      </c>
      <c r="H5" s="2542" t="str">
        <f t="shared" ref="H5:H16" ca="1" si="1">E5&amp;"（注册号："&amp;F5&amp;"）"</f>
        <v>叶凌（注册号：94010078）</v>
      </c>
    </row>
    <row r="6" spans="1:8" ht="24" customHeight="1">
      <c r="A6" s="1444" t="s">
        <v>2833</v>
      </c>
      <c r="B6" s="1444" t="str">
        <f ca="1">IF(C6&lt;B2,"已过期",1120050019)</f>
        <v>已过期</v>
      </c>
      <c r="C6" s="2538">
        <v>44395</v>
      </c>
      <c r="D6" s="2539" t="str">
        <f t="shared" ca="1" si="0"/>
        <v>王鹏（注册号：已过期）</v>
      </c>
      <c r="E6" s="2540" t="s">
        <v>2833</v>
      </c>
      <c r="F6" s="1444">
        <f ca="1">IF(G6&lt;B2,"已过期",2002110030)</f>
        <v>2002110030</v>
      </c>
      <c r="G6" s="2541">
        <v>46387</v>
      </c>
      <c r="H6" s="2542" t="str">
        <f t="shared" ca="1" si="1"/>
        <v>王鹏（注册号：2002110030）</v>
      </c>
    </row>
    <row r="7" spans="1:8" ht="24" customHeight="1">
      <c r="A7" s="1444" t="s">
        <v>2834</v>
      </c>
      <c r="B7" s="1444">
        <f ca="1">IF(C7&lt;B2,"已过期",1120000080)</f>
        <v>1120000080</v>
      </c>
      <c r="C7" s="2538">
        <v>44876</v>
      </c>
      <c r="D7" s="2539" t="str">
        <f t="shared" ca="1" si="0"/>
        <v>欧红伟（注册号：1120000080）</v>
      </c>
      <c r="E7" s="2540" t="s">
        <v>2834</v>
      </c>
      <c r="F7" s="1444">
        <f ca="1">IF(G7&lt;B2,"已过期",2000110082)</f>
        <v>2000110082</v>
      </c>
      <c r="G7" s="2541">
        <v>46387</v>
      </c>
      <c r="H7" s="2542" t="str">
        <f t="shared" ca="1" si="1"/>
        <v>欧红伟（注册号：2000110082）</v>
      </c>
    </row>
    <row r="8" spans="1:8" ht="24" customHeight="1">
      <c r="A8" s="1444" t="s">
        <v>2835</v>
      </c>
      <c r="B8" s="1444">
        <f ca="1">IF(C8&lt;B2,"已过期",1419970001)</f>
        <v>1419970001</v>
      </c>
      <c r="C8" s="2538">
        <v>44899</v>
      </c>
      <c r="D8" s="2539" t="str">
        <f t="shared" ca="1" si="0"/>
        <v>吴薇（注册号：1419970001）</v>
      </c>
      <c r="E8" s="2540" t="s">
        <v>2835</v>
      </c>
      <c r="F8" s="1444">
        <f ca="1">IF(G8&lt;B2,"已过期",2002110125)</f>
        <v>2002110125</v>
      </c>
      <c r="G8" s="2541">
        <v>47118</v>
      </c>
      <c r="H8" s="2542" t="str">
        <f t="shared" ca="1" si="1"/>
        <v>吴薇（注册号：2002110125）</v>
      </c>
    </row>
    <row r="9" spans="1:8" ht="24" customHeight="1">
      <c r="A9" s="1444" t="s">
        <v>2836</v>
      </c>
      <c r="B9" s="1444" t="str">
        <f ca="1">IF(C9&lt;B2,"已过期",1120060040)</f>
        <v>已过期</v>
      </c>
      <c r="C9" s="2543">
        <v>44554</v>
      </c>
      <c r="D9" s="2539" t="str">
        <f t="shared" ca="1" si="0"/>
        <v>陈颖（注册号：已过期）</v>
      </c>
      <c r="E9" s="2540" t="s">
        <v>2836</v>
      </c>
      <c r="F9" s="1444">
        <f ca="1">IF(G9&lt;B2,"已过期",2004110096)</f>
        <v>2004110096</v>
      </c>
      <c r="G9" s="2541">
        <v>47118</v>
      </c>
      <c r="H9" s="2542" t="str">
        <f t="shared" ca="1" si="1"/>
        <v>陈颖（注册号：2004110096）</v>
      </c>
    </row>
    <row r="10" spans="1:8" ht="24" customHeight="1">
      <c r="A10" s="1444" t="s">
        <v>2837</v>
      </c>
      <c r="B10" s="1444">
        <f ca="1">IF(C10&lt;B2,"已过期",1120100036)</f>
        <v>1120100036</v>
      </c>
      <c r="C10" s="2543">
        <v>44675</v>
      </c>
      <c r="D10" s="2539" t="str">
        <f t="shared" ca="1" si="0"/>
        <v>崔锴（注册号：1120100036）</v>
      </c>
      <c r="E10" s="2540" t="s">
        <v>2837</v>
      </c>
      <c r="F10" s="1444">
        <f ca="1">IF(G10&lt;B2,"已过期",2010110070)</f>
        <v>2010110070</v>
      </c>
      <c r="G10" s="2541">
        <v>47907</v>
      </c>
      <c r="H10" s="2542" t="str">
        <f t="shared" ca="1" si="1"/>
        <v>崔锴（注册号：2010110070）</v>
      </c>
    </row>
    <row r="11" spans="1:8" ht="24" customHeight="1">
      <c r="A11" s="1444" t="s">
        <v>2838</v>
      </c>
      <c r="B11" s="1444">
        <f ca="1">IF(C11&lt;B2,"已过期",1120070131)</f>
        <v>1120070131</v>
      </c>
      <c r="C11" s="2538">
        <v>44849</v>
      </c>
      <c r="D11" s="2539" t="str">
        <f t="shared" ca="1" si="0"/>
        <v>郑燚（注册号：1120070131）</v>
      </c>
      <c r="E11" s="2540" t="s">
        <v>2838</v>
      </c>
      <c r="F11" s="1444">
        <f ca="1">IF(G11&lt;B2,"已过期",2014110011)</f>
        <v>2014110011</v>
      </c>
      <c r="G11" s="2541">
        <v>49302</v>
      </c>
      <c r="H11" s="2542" t="str">
        <f t="shared" ca="1" si="1"/>
        <v>郑燚（注册号：2014110011）</v>
      </c>
    </row>
    <row r="12" spans="1:8" ht="24" customHeight="1">
      <c r="A12" s="1444" t="s">
        <v>2839</v>
      </c>
      <c r="B12" s="1444">
        <f ca="1">IF(C12&lt;B2,"已过期",1120040230)</f>
        <v>1120040230</v>
      </c>
      <c r="C12" s="2543">
        <v>44864</v>
      </c>
      <c r="D12" s="2539" t="str">
        <f t="shared" ca="1" si="0"/>
        <v>苏海（注册号：1120040230）</v>
      </c>
      <c r="E12" s="2540" t="s">
        <v>2839</v>
      </c>
      <c r="F12" s="1444">
        <f ca="1">IF(G12&lt;B2,"已过期",98030020)</f>
        <v>98030020</v>
      </c>
      <c r="G12" s="2541">
        <v>47118</v>
      </c>
      <c r="H12" s="2542" t="str">
        <f t="shared" ca="1" si="1"/>
        <v>苏海（注册号：98030020）</v>
      </c>
    </row>
    <row r="13" spans="1:8" ht="24" customHeight="1">
      <c r="A13" s="1444" t="s">
        <v>2840</v>
      </c>
      <c r="B13" s="1444" t="str">
        <f ca="1">IF(C13&lt;B2,"已过期",1120020033)</f>
        <v>已过期</v>
      </c>
      <c r="C13" s="2538">
        <v>44339</v>
      </c>
      <c r="D13" s="2539" t="str">
        <f t="shared" ca="1" si="0"/>
        <v>刘敬东（注册号：已过期）</v>
      </c>
      <c r="E13" s="2540" t="s">
        <v>2840</v>
      </c>
      <c r="F13" s="1444">
        <f ca="1">IF(G13&lt;B2,"已过期",2000110137)</f>
        <v>2000110137</v>
      </c>
      <c r="G13" s="2541">
        <v>46387</v>
      </c>
      <c r="H13" s="2542" t="str">
        <f t="shared" ca="1" si="1"/>
        <v>刘敬东（注册号：2000110137）</v>
      </c>
    </row>
    <row r="14" spans="1:8" ht="24" customHeight="1">
      <c r="A14" s="1444" t="s">
        <v>2841</v>
      </c>
      <c r="B14" s="1444">
        <f ca="1">IF(C14&lt;B2,"已过期",1119980106)</f>
        <v>1119980106</v>
      </c>
      <c r="C14" s="2543">
        <v>44969</v>
      </c>
      <c r="D14" s="2539" t="str">
        <f t="shared" ca="1" si="0"/>
        <v>刘俊财（注册号：1119980106）</v>
      </c>
      <c r="E14" s="2540" t="s">
        <v>2841</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2842</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389" t="s">
        <v>2843</v>
      </c>
      <c r="B17" s="3389"/>
      <c r="C17" s="3389"/>
      <c r="D17" s="3389"/>
      <c r="E17" s="3389"/>
      <c r="F17" s="3389"/>
      <c r="G17" s="3389"/>
      <c r="H17" s="3389"/>
    </row>
    <row r="18" spans="1:8" ht="24" customHeight="1">
      <c r="A18" s="3390" t="s">
        <v>2844</v>
      </c>
      <c r="B18" s="3390"/>
      <c r="C18" s="3390"/>
      <c r="D18" s="2536"/>
      <c r="E18" s="3391" t="s">
        <v>2845</v>
      </c>
      <c r="F18" s="3390"/>
      <c r="G18" s="3390"/>
    </row>
    <row r="19" spans="1:8" s="2547" customFormat="1" ht="24" customHeight="1">
      <c r="A19" s="2546" t="s">
        <v>2846</v>
      </c>
      <c r="B19" s="2535" t="s">
        <v>2847</v>
      </c>
      <c r="C19" s="2535" t="s">
        <v>2826</v>
      </c>
      <c r="D19" s="2536"/>
      <c r="E19" s="2540" t="s">
        <v>2846</v>
      </c>
      <c r="F19" s="2535" t="s">
        <v>2847</v>
      </c>
      <c r="G19" s="2535" t="s">
        <v>2826</v>
      </c>
    </row>
    <row r="20" spans="1:8" s="2547" customFormat="1" ht="24" customHeight="1">
      <c r="A20" s="2548" t="s">
        <v>2848</v>
      </c>
      <c r="B20" s="2548" t="s">
        <v>2849</v>
      </c>
      <c r="C20" s="2541">
        <v>44820</v>
      </c>
      <c r="D20" s="2549"/>
      <c r="E20" s="2550" t="s">
        <v>2850</v>
      </c>
      <c r="F20" s="2548" t="s">
        <v>2851</v>
      </c>
      <c r="G20" s="2551">
        <v>44377</v>
      </c>
    </row>
    <row r="21" spans="1:8" s="2547" customFormat="1" ht="24" customHeight="1">
      <c r="A21" s="2548"/>
      <c r="B21" s="2548"/>
      <c r="C21" s="2552"/>
      <c r="D21" s="2553"/>
      <c r="E21" s="2550" t="s">
        <v>2852</v>
      </c>
      <c r="F21" s="2554" t="s">
        <v>2853</v>
      </c>
      <c r="G21" s="2555">
        <v>44012</v>
      </c>
    </row>
    <row r="22" spans="1:8" ht="24" customHeight="1">
      <c r="C22" s="2556"/>
      <c r="D22" s="2556"/>
      <c r="E22" s="2557"/>
      <c r="F22" s="2558"/>
      <c r="G22" s="2559" t="s">
        <v>2854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清单</vt:lpstr>
      <vt:lpstr>数据-汇总表</vt:lpstr>
      <vt:lpstr>数据-取费表</vt:lpstr>
      <vt:lpstr>估价对象房地状况</vt:lpstr>
      <vt:lpstr>系统读取表</vt:lpstr>
      <vt:lpstr>结果表</vt:lpstr>
      <vt:lpstr>成本法</vt:lpstr>
      <vt:lpstr>土地比较法-住宅、综合</vt:lpstr>
      <vt:lpstr>成本法 (元)</vt:lpstr>
      <vt:lpstr>假设开发法</vt:lpstr>
      <vt:lpstr>收益法（汇总）</vt:lpstr>
      <vt:lpstr>收益法</vt:lpstr>
      <vt:lpstr>收益法-办公</vt:lpstr>
      <vt:lpstr>收益法 (元)</vt:lpstr>
      <vt:lpstr>收益法-酒店模型</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Sheet3</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'收益法-办公'!Print_Area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2021-12-27T08:22:12Z</dcterms:modified>
</cp:coreProperties>
</file>