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000" windowHeight="12971"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<sst xmlns="http://schemas.openxmlformats.org/spreadsheetml/2006/main" count="9345" uniqueCount="3157">
  <si>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</si>
  <si>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</si>
  <si>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</si>
  <si>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</si>
  <si>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</si>
  <si>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</si>
  <si>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</si>
  <si>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</si>
  <si>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</si>
  <si>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</si>
  <si>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</si>
  <si>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</si>
  <si>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</si>
  <si>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</si>
  <si>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</si>
  <si>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</si>
  <si>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</si>
  <si>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</si>
  <si>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</si>
  <si>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</si>
  <si>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</si>
  <si>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</si>
  <si>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</si>
  <si>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</si>
  <si>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</si>
  <si>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</si>
  <si>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</si>
  <si>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</si>
  <si>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</si>
  <si>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</si>
  <si>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</si>
  <si>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</si>
  <si>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</si>
  <si>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</si>
  <si>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</si>
  <si>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</si>
  <si>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</si>
  <si>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</si>
  <si>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</si>
  <si>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</si>
  <si>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</si>
  <si>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</si>
  <si>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</si>
  <si>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</si>
  <si>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</si>
  <si>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</si>
  <si>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</si>
  <si>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</si>
  <si>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</si>
  <si>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</si>
  <si>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</si>
  <si>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</si>
  <si>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</si>
  <si>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</si>
  <si>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</si>
  <si>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</si>
  <si>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</si>
  <si>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</si>
  <si>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</si>
  <si>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</si>
  <si>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</si>
  <si>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</si>
  <si>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</si>
  <si>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</si>
  <si>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</si>
  <si>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</si>
  <si>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</si>
  <si>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</si>
  <si>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</si>
  <si>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</si>
  <si>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</si>
  <si>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</si>
  <si>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</si>
  <si>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</si>
  <si>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</si>
  <si>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</si>
  <si>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</si>
  <si>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</si>
  <si>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</si>
  <si>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</si>
  <si>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</si>
  <si>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</si>
  <si>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</si>
  <si>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</si>
  <si>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</si>
  <si>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</si>
  <si>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</si>
  <si>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</si>
  <si>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</si>
  <si>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</si>
  <si>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</si>
  <si>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</si>
  <si>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</si>
  <si>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</si>
  <si>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</si>
  <si>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</si>
  <si>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</si>
  <si>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</si>
  <si>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</si>
  <si>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</si>
  <si>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</si>
  <si>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</si>
  <si>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</si>
  <si>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</si>
  <si>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</si>
  <si>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</si>
  <si>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</si>
  <si>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</si>
  <si>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</si>
  <si>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</si>
  <si>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</si>
  <si>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</si>
  <si>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</si>
  <si>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</si>
  <si>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</si>
  <si>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</si>
  <si>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</si>
  <si>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</si>
  <si>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</si>
  <si>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</si>
  <si>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</si>
  <si>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</si>
  <si>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</si>
  <si>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</si>
  <si>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</si>
  <si>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</si>
  <si>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</si>
  <si>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</si>
  <si>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</si>
  <si>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</si>
  <si>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</si>
  <si>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</si>
  <si>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</si>
  <si>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</si>
  <si>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</si>
  <si>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</si>
  <si>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</si>
  <si>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</si>
  <si>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</si>
  <si>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</si>
  <si>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</si>
  <si>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</si>
  <si>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</si>
  <si>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</si>
  <si>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</si>
  <si>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</si>
  <si>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</si>
  <si>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</si>
  <si>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</si>
  <si>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</si>
  <si>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</si>
  <si>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</si>
  <si>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</si>
  <si>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</si>
  <si>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</si>
  <si>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</si>
  <si>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</si>
  <si>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</si>
  <si>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</si>
  <si>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</si>
  <si>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</si>
  <si>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</si>
  <si>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</si>
  <si>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</si>
  <si>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</si>
  <si>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</si>
  <si>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</si>
  <si>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</si>
  <si>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</si>
  <si>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</si>
  <si>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</si>
  <si>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</si>
  <si>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</si>
  <si>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</si>
  <si>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</si>
  <si>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</si>
  <si>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</si>
  <si>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</si>
  <si>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</si>
  <si>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</si>
  <si>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</si>
  <si>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</si>
  <si>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</si>
  <si>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</si>
  <si>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</si>
  <si>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</si>
  <si>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</si>
  <si>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</si>
  <si>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</si>
  <si>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</si>
  <si>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</si>
  <si>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</si>
  <si>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</si>
  <si>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</si>
  <si>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</si>
  <si>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</si>
  <si>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</si>
  <si>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</si>
  <si>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</si>
  <si>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</si>
  <si>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</si>
  <si>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</si>
  <si>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</si>
  <si>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</si>
  <si>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</si>
  <si>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</si>
  <si>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</si>
  <si>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</si>
  <si>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</si>
  <si>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</si>
  <si>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</si>
  <si>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</si>
  <si>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</si>
  <si>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</si>
  <si>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</si>
  <si>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</si>
  <si>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</si>
  <si>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</si>
  <si>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</si>
  <si>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</si>
  <si>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</si>
  <si>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</si>
  <si>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</si>
  <si>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</si>
  <si>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</si>
  <si>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</si>
  <si>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</si>
  <si>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</si>
  <si>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</si>
  <si>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</si>
  <si>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</si>
  <si>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</si>
  <si>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</si>
  <si>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</si>
  <si>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</si>
  <si>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</si>
  <si>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</si>
  <si>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</si>
  <si>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</si>
  <si>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</si>
  <si>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</si>
  <si>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</si>
  <si>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</si>
  <si>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</si>
  <si>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</si>
  <si>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</si>
  <si>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</si>
  <si>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</si>
  <si>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</si>
  <si>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</si>
  <si>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</si>
  <si>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</si>
  <si>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</si>
  <si>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</si>
  <si>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</si>
  <si>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</si>
  <si>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</si>
  <si>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</si>
  <si>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</si>
  <si>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</si>
  <si>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</si>
  <si>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</si>
  <si>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</si>
  <si>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</si>
  <si>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</si>
  <si>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</si>
  <si>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</si>
  <si>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</si>
  <si>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</si>
  <si>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</si>
  <si>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</si>
  <si>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</si>
  <si>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</si>
  <si>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</si>
  <si>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</si>
  <si>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</si>
  <si>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</si>
  <si>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</si>
  <si>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</si>
  <si>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</si>
  <si>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</si>
  <si>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</si>
  <si>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</si>
  <si>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</si>
  <si>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</si>
  <si>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</si>
  <si>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</si>
  <si>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</si>
  <si>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</si>
  <si>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</si>
  <si>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</si>
  <si>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</si>
  <si>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</si>
  <si>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</si>
  <si>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</si>
  <si>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</si>
  <si>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</si>
  <si>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</si>
  <si>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</si>
  <si>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</si>
  <si>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</si>
  <si>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</si>
  <si>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</si>
  <si>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</si>
  <si>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</si>
  <si>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</si>
  <si>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</si>
  <si>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</si>
  <si>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</si>
  <si>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</si>
  <si>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</si>
  <si>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</si>
  <si>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</si>
  <si>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</si>
  <si>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</si>
  <si>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</si>
  <si>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</si>
  <si>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</si>
  <si>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</si>
  <si>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</si>
  <si>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</si>
  <si>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</si>
  <si>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</si>
  <si>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</si>
  <si>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</si>
  <si>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</si>
  <si>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</si>
  <si>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</si>
  <si>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</si>
  <si>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</si>
  <si>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</si>
  <si>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</si>
  <si>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</si>
  <si>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</si>
  <si>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</si>
  <si>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</si>
  <si>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</si>
  <si>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</si>
  <si>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</si>
  <si>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</si>
  <si>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</si>
  <si>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</si>
  <si>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</si>
  <si>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</si>
  <si>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</si>
  <si>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</si>
  <si>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</si>
  <si>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</si>
  <si>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</si>
  <si>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</si>
  <si>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</si>
  <si>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</si>
  <si>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</si>
  <si>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</si>
  <si>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</si>
  <si>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</si>
  <si>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</si>
  <si>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</si>
  <si>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</si>
  <si>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</si>
  <si>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</si>
  <si>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</si>
  <si>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</si>
  <si>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</si>
  <si>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</si>
  <si>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</si>
  <si>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</si>
  <si>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</si>
  <si>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</si>
  <si>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</si>
  <si>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</si>
  <si>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</si>
  <si>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</si>
  <si>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</si>
  <si>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</si>
  <si>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</si>
  <si>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</si>
  <si>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</si>
  <si>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</si>
  <si>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</si>
  <si>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</si>
  <si>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</si>
  <si>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</si>
  <si>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</si>
  <si>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</si>
  <si>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</si>
  <si>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</si>
  <si>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</si>
  <si>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</si>
  <si>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</si>
  <si>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</si>
  <si>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</si>
  <si>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</si>
  <si>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</si>
  <si>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</si>
  <si>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</si>
  <si>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</si>
  <si>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</si>
  <si>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</si>
  <si>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</si>
  <si>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</si>
  <si>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</si>
  <si>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</si>
  <si>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</si>
  <si>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</si>
  <si>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</si>
  <si>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</si>
  <si>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</si>
  <si>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</si>
  <si>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</si>
  <si>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</si>
  <si>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</si>
  <si>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</si>
  <si>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</si>
  <si>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</si>
  <si>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</si>
  <si>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</si>
  <si>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</si>
  <si>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</si>
  <si>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</si>
  <si>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</si>
  <si>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</si>
  <si>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</si>
  <si>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</si>
  <si>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</si>
  <si>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</si>
  <si>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</si>
  <si>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</si>
  <si>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</si>
  <si>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</si>
  <si>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</si>
  <si>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</si>
  <si>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</si>
  <si>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</si>
  <si>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</si>
  <si>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</si>
  <si>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</si>
  <si>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</si>
  <si>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</si>
  <si>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</si>
  <si>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</si>
  <si>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</si>
  <si>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</si>
  <si>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</si>
  <si>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</si>
  <si>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</si>
  <si>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</si>
  <si>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</si>
  <si>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</si>
  <si>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</si>
  <si>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</si>
  <si>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</si>
  <si>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</si>
  <si>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</si>
  <si>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</si>
  <si>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</si>
  <si>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</si>
  <si>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</si>
  <si>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</si>
  <si>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</si>
  <si>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</si>
  <si>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</si>
  <si>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</si>
  <si>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</si>
  <si>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</si>
  <si>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</si>
  <si>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</si>
  <si>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</si>
  <si>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</si>
  <si>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</si>
  <si>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</si>
  <si>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</si>
  <si>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</si>
  <si>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</si>
  <si>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</si>
  <si>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</si>
  <si>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</si>
  <si>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</si>
  <si>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</si>
  <si>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</si>
  <si>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</si>
  <si>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</si>
  <si>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</si>
  <si>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</si>
  <si>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</si>
  <si>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</si>
  <si>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</si>
  <si>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</si>
  <si>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</si>
  <si>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</si>
  <si>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</si>
  <si>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</si>
  <si>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</si>
  <si>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</si>
  <si>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</si>
  <si>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</si>
  <si>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</si>
  <si>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</si>
  <si>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</si>
  <si>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</si>
  <si>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</si>
  <si>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</si>
  <si>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</si>
  <si>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</si>
  <si>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</si>
  <si>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</si>
  <si>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</si>
  <si>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</si>
  <si>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</si>
  <si>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</si>
  <si>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</si>
  <si>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</si>
  <si>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</si>
  <si>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</si>
  <si>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</si>
  <si>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</si>
  <si>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</si>
  <si>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</si>
  <si>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</si>
  <si>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</si>
  <si>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</si>
  <si>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</si>
  <si>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</si>
  <si>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</si>
  <si>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</si>
  <si>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</si>
  <si>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</si>
  <si>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</si>
  <si>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</si>
  <si>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</si>
  <si>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</si>
  <si>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</si>
  <si>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</si>
  <si>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</si>
  <si>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</si>
  <si>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</si>
  <si>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</si>
  <si>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</si>
  <si>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</si>
  <si>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</si>
  <si>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</si>
  <si>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</si>
  <si>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</si>
  <si>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</si>
  <si>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</si>
  <si>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</si>
  <si>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</si>
  <si>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</si>
  <si>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</si>
  <si>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</si>
  <si>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</si>
  <si>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</si>
  <si>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</si>
  <si>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</si>
  <si>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</si>
  <si>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</si>
  <si>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</si>
  <si>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</si>
  <si>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</si>
  <si>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</si>
  <si>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</si>
  <si>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</si>
  <si>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</si>
  <si>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</si>
  <si>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</si>
  <si>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</si>
  <si>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</si>
  <si>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</si>
  <si>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</si>
  <si>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</si>
  <si>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</si>
  <si>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</si>
  <si>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</si>
  <si>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</si>
  <si>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</si>
  <si>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</si>
  <si>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</si>
  <si>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</si>
  <si>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</si>
  <si>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</si>
  <si>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</si>
  <si>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</si>
  <si>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</si>
  <si>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</si>
  <si>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</si>
  <si>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</si>
  <si>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</si>
  <si>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</si>
  <si>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</si>
  <si>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</si>
  <si>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</si>
  <si>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</si>
  <si>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</si>
  <si>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</si>
  <si>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</si>
  <si>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</si>
  <si>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</si>
  <si>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</si>
  <si>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</si>
  <si>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</si>
  <si>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</si>
  <si>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</si>
  <si>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</si>
  <si>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</si>
  <si>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</si>
  <si>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</si>
  <si>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</si>
  <si>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</si>
  <si>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</si>
  <si>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</si>
  <si>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</si>
  <si>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</si>
  <si>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</si>
  <si>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</si>
  <si>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</si>
  <si>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</si>
  <si>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</si>
  <si>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</si>
  <si>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</si>
  <si>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</si>
  <si>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</si>
  <si>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</si>
  <si>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</si>
  <si>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</si>
  <si>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</si>
  <si>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</si>
  <si>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</si>
  <si>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</si>
  <si>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</si>
  <si>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</si>
  <si>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</si>
  <si>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</si>
  <si>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</si>
  <si>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</si>
  <si>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</si>
  <si>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</si>
  <si>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</si>
  <si>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</si>
  <si>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</si>
  <si>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</si>
  <si>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</si>
  <si>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</si>
  <si>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</si>
  <si>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</si>
  <si>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</si>
  <si>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</si>
  <si>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</si>
  <si>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</si>
  <si>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</si>
  <si>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</si>
  <si>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</si>
  <si>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</si>
  <si>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</si>
  <si>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</si>
  <si>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</si>
  <si>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</si>
  <si>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</si>
  <si>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</si>
  <si>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</si>
  <si>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</si>
  <si>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</si>
  <si>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</si>
  <si>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</si>
  <si>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</si>
  <si>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</si>
  <si>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</si>
  <si>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</si>
  <si>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</si>
  <si>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</si>
  <si>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</si>
  <si>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</si>
  <si>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</si>
  <si>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</si>
  <si>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</si>
  <si>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</si>
  <si>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</si>
  <si>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</si>
  <si>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</si>
  <si>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</si>
  <si>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</si>
  <si>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</si>
  <si>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</si>
  <si>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</si>
  <si>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</si>
  <si>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</si>
  <si>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</si>
  <si>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</si>
  <si>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</si>
  <si>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</si>
  <si>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</si>
  <si>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</si>
  <si>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</si>
  <si>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</si>
  <si>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</si>
  <si>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</si>
  <si>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</si>
  <si>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</si>
  <si>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</si>
  <si>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</si>
  <si>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</si>
  <si>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</si>
  <si>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</si>
  <si>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</si>
  <si>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</si>
  <si>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</si>
  <si>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</si>
  <si>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</si>
  <si>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</si>
  <si>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</si>
  <si>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</si>
  <si>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</si>
  <si>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</si>
  <si>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</si>
  <si>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</si>
  <si>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</si>
  <si>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</si>
  <si>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</si>
  <si>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</si>
  <si>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</si>
  <si>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</si>
  <si>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</si>
  <si>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</si>
  <si>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</si>
  <si>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</si>
  <si>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</si>
  <si>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</si>
  <si>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</si>
  <si>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</si>
  <si>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</si>
  <si>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</si>
  <si>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</si>
  <si>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</si>
  <si>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</si>
  <si>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</si>
  <si>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</si>
  <si>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</si>
  <si>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</si>
  <si>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</si>
  <si>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</si>
  <si>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</si>
  <si>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</si>
  <si>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</si>
  <si>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</si>
  <si>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</si>
  <si>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</si>
  <si>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</si>
  <si>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</si>
  <si>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</si>
  <si>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</si>
  <si>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</si>
  <si>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</si>
  <si>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</si>
  <si>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</si>
  <si>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</si>
  <si>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</si>
  <si>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</si>
  <si>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</si>
  <si>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</si>
  <si>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</si>
  <si>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</si>
  <si>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</si>
  <si>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</si>
  <si>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</si>
  <si>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</si>
  <si>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</si>
  <si>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</si>
  <si>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</si>
  <si>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</si>
  <si>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</si>
  <si>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</si>
  <si>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</si>
  <si>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</si>
  <si>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</si>
  <si>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</si>
  <si>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</si>
  <si>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</si>
  <si>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</si>
  <si>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</si>
  <si>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</si>
  <si>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</si>
  <si>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</si>
  <si>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</si>
  <si>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</si>
  <si>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</si>
  <si>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</si>
  <si>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</si>
  <si>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</si>
  <si>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</si>
  <si>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</si>
  <si>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</si>
  <si>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</si>
  <si>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</si>
  <si>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</si>
  <si>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</si>
  <si>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</si>
  <si>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</si>
  <si>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</si>
  <si>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</si>
  <si>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</si>
  <si>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</si>
  <si>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</si>
  <si>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</si>
  <si>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</si>
  <si>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</si>
  <si>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</si>
  <si>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</si>
  <si>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</si>
  <si>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</si>
  <si>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</si>
  <si>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</si>
  <si>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</si>
  <si>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</si>
  <si>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</si>
  <si>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</si>
  <si>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</si>
  <si>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</si>
  <si>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</si>
  <si>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</si>
  <si>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</si>
  <si>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</si>
  <si>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</si>
  <si>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</si>
  <si>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</si>
  <si>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</si>
  <si>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</si>
  <si>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</si>
  <si>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</si>
  <si>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</si>
  <si>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</si>
  <si>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</si>
  <si>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</si>
  <si>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</si>
  <si>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</si>
  <si>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</si>
  <si>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</si>
  <si>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</si>
  <si>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</si>
  <si>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</si>
  <si>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</si>
  <si>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</si>
  <si>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</si>
  <si>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</si>
  <si>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</si>
  <si>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</si>
  <si>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</si>
  <si>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</si>
  <si>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</si>
  <si>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</si>
  <si>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</si>
  <si>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</si>
  <si>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</si>
  <si>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</si>
  <si>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</si>
  <si>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</si>
  <si>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</si>
  <si>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</si>
  <si>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</si>
  <si>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</si>
  <si>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</si>
  <si>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</si>
  <si>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</si>
  <si>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</si>
  <si>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</si>
  <si>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</si>
  <si>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</si>
  <si>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</si>
  <si>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</si>
  <si>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</si>
  <si>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</si>
  <si>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</si>
  <si>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</si>
  <si>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</si>
  <si>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</si>
  <si>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</si>
  <si>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</si>
  <si>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</si>
  <si>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</si>
  <si>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</si>
  <si>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</si>
  <si>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</si>
  <si>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</si>
  <si>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</si>
  <si>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</si>
  <si>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</si>
  <si>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</si>
  <si>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</si>
  <si>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</si>
  <si>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</si>
  <si>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</si>
  <si>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</si>
  <si>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</si>
  <si>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</si>
  <si>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</si>
  <si>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</si>
  <si>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</si>
  <si>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</si>
  <si>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</si>
  <si>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</si>
  <si>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</si>
  <si>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</si>
  <si>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</si>
  <si>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</si>
  <si>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</si>
  <si>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</si>
  <si>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</si>
  <si>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</si>
  <si>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</si>
  <si>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</si>
  <si>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</si>
  <si>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</si>
  <si>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</si>
  <si>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</si>
  <si>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</si>
  <si>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</si>
  <si>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</si>
  <si>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</si>
  <si>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</si>
  <si>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</si>
  <si>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</si>
  <si>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</si>
  <si>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</si>
  <si>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</si>
  <si>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</si>
  <si>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</si>
  <si>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</si>
  <si>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</si>
  <si>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</si>
  <si>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</si>
  <si>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</si>
  <si>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</si>
  <si>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</si>
  <si>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</si>
  <si>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</si>
  <si>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</si>
  <si>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</si>
  <si>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</si>
  <si>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</si>
  <si>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</si>
  <si>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</si>
  <si>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</si>
  <si>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</si>
  <si>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</si>
  <si>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</si>
  <si>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</si>
  <si>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</si>
  <si>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</si>
  <si>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</si>
  <si>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</si>
  <si>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</si>
  <si>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</si>
  <si>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</si>
  <si>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</si>
  <si>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</si>
  <si>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</si>
  <si>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</si>
  <si>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</si>
  <si>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</si>
  <si>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</si>
  <si>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</si>
  <si>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</si>
  <si>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</si>
  <si>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</si>
  <si>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</si>
  <si>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</si>
  <si>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</si>
  <si>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</si>
  <si>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</si>
  <si>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</si>
  <si>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</si>
  <si>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</si>
  <si>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</si>
  <si>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</si>
  <si>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</si>
  <si>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</si>
  <si>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</si>
  <si>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</si>
  <si>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</si>
  <si>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</si>
  <si>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</si>
  <si>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</si>
  <si>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</si>
  <si>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</si>
  <si>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</si>
  <si>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</si>
  <si>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</si>
  <si>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</si>
  <si>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</si>
  <si>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</si>
  <si>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</si>
  <si>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</si>
  <si>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</si>
  <si>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</si>
  <si>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</si>
  <si>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</si>
  <si>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</si>
  <si>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</si>
  <si>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</si>
  <si>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</si>
  <si>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</si>
  <si>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</si>
  <si>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</si>
  <si>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</si>
  <si>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</si>
  <si>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</si>
  <si>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</si>
  <si>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</si>
  <si>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</si>
  <si>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</si>
  <si>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</si>
  <si>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</si>
  <si>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</si>
  <si>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</si>
  <si>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</si>
  <si>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</si>
  <si>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</si>
  <si>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</si>
  <si>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</si>
  <si>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</si>
  <si>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</si>
  <si>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</si>
  <si>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</si>
  <si>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</si>
  <si>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</si>
  <si>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</si>
  <si>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</si>
  <si>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</si>
  <si>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</si>
  <si>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</si>
  <si>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</si>
  <si>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</si>
  <si>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</si>
  <si>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</si>
  <si>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</si>
  <si>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</si>
  <si>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</si>
  <si>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</si>
  <si>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</si>
  <si>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</si>
  <si>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</si>
  <si>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</si>
  <si>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</si>
  <si>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</si>
  <si>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</si>
  <si>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</si>
  <si>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</si>
  <si>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</si>
  <si>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</si>
  <si>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</si>
  <si>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</si>
  <si>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</si>
  <si>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</si>
  <si>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</si>
  <si>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</si>
  <si>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</si>
  <si>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</si>
  <si>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</si>
  <si>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</si>
  <si>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</si>
  <si>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</si>
  <si>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</si>
  <si>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</si>
  <si>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</si>
  <si>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</si>
  <si>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</si>
  <si>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</si>
  <si>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</si>
  <si>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</si>
  <si>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</si>
  <si>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</si>
  <si>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</si>
  <si>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</si>
  <si>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</si>
  <si>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</si>
  <si>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</si>
  <si>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</si>
  <si>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</si>
  <si>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</si>
  <si>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</si>
  <si>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</si>
  <si>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</si>
  <si>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</si>
  <si>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</si>
  <si>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</si>
  <si>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</si>
  <si>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</si>
  <si>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</si>
  <si>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</si>
  <si>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</si>
  <si>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</si>
  <si>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</si>
  <si>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</si>
  <si>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</si>
  <si>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</si>
  <si>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</si>
  <si>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</si>
  <si>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</si>
  <si>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</si>
  <si>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</si>
  <si>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</si>
  <si>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</si>
  <si>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</si>
  <si>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</si>
  <si>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</si>
  <si>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</si>
  <si>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</si>
  <si>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</si>
  <si>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</si>
  <si>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</si>
  <si>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</si>
  <si>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</si>
  <si>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</si>
  <si>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</si>
  <si>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</si>
  <si>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</si>
  <si>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</si>
  <si>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</si>
  <si>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</si>
  <si>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</si>
  <si>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</si>
  <si>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</si>
  <si>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</si>
  <si>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</si>
  <si>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</si>
  <si>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</si>
  <si>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</si>
  <si>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</si>
  <si>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</si>
  <si>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</si>
  <si>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</si>
  <si>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</si>
  <si>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</si>
  <si>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</si>
  <si>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</si>
  <si>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</si>
  <si>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</si>
  <si>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</si>
  <si>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</si>
  <si>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</si>
  <si>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</si>
  <si>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</si>
  <si>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</si>
  <si>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</si>
  <si>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</si>
  <si>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</si>
  <si>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</si>
  <si>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</si>
  <si>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</si>
  <si>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</si>
  <si>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</si>
  <si>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</si>
  <si>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</si>
  <si>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</si>
  <si>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</si>
  <si>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</si>
  <si>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</si>
  <si>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</si>
  <si>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</si>
  <si>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</si>
  <si>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</si>
  <si>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</si>
  <si>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</si>
  <si>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</si>
  <si>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</si>
  <si>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</si>
  <si>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</si>
  <si>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</si>
  <si>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</si>
  <si>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</si>
  <si>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</si>
  <si>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</si>
  <si>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</si>
  <si>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</si>
  <si>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</si>
  <si>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</si>
  <si>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</si>
  <si>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</si>
  <si>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</si>
  <si>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</si>
  <si>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</si>
  <si>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</si>
  <si>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</si>
  <si>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</si>
  <si>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</si>
  <si>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</si>
  <si>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</si>
  <si>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</si>
  <si>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</si>
  <si>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</si>
  <si>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</si>
  <si>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</si>
  <si>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</si>
  <si>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</si>
  <si>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</si>
  <si>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</si>
  <si>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</si>
  <si>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</si>
  <si>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</si>
  <si>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</si>
  <si>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</si>
  <si>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</si>
  <si>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</si>
  <si>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</si>
  <si>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</si>
  <si>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</si>
  <si>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</si>
  <si>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</si>
  <si>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</si>
  <si>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</si>
  <si>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</si>
  <si>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</si>
  <si>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</si>
  <si>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</si>
  <si>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</si>
  <si>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</si>
  <si>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</si>
  <si>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</si>
  <si>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</si>
  <si>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</si>
  <si>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</si>
  <si>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</si>
  <si>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</si>
  <si>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</si>
  <si>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</si>
  <si>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</si>
  <si>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</si>
  <si>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</si>
  <si>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</si>
  <si>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</si>
  <si>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</si>
  <si>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</si>
  <si>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</si>
  <si>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</si>
  <si>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</si>
  <si>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</si>
  <si>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</si>
  <si>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</si>
  <si>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</si>
  <si>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</si>
  <si>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</si>
  <si>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</si>
  <si>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</si>
  <si>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</si>
  <si>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</si>
  <si>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</si>
  <si>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</si>
  <si>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</si>
  <si>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</si>
  <si>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</si>
  <si>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</si>
  <si>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</si>
  <si>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</si>
  <si>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</si>
  <si>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</si>
  <si>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</si>
  <si>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</si>
  <si>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</si>
  <si>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</si>
  <si>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</si>
  <si>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</si>
  <si>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</si>
  <si>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</si>
  <si>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</si>
  <si>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</si>
  <si>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</si>
  <si>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</si>
  <si>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</si>
  <si>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</si>
  <si>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</si>
  <si>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</si>
  <si>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</si>
  <si>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</si>
  <si>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</si>
  <si>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</si>
  <si>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</si>
  <si>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</si>
  <si>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</si>
  <si>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</si>
  <si>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</si>
  <si>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</si>
  <si>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</si>
  <si>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</si>
  <si>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</si>
  <si>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</si>
  <si>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</si>
  <si>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</si>
  <si>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</si>
  <si>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</si>
  <si>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</si>
  <si>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</si>
  <si>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</si>
  <si>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</si>
  <si>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</si>
  <si>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</si>
  <si>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</si>
  <si>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</si>
  <si>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</si>
  <si>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</si>
  <si>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</si>
  <si>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</si>
  <si>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</si>
  <si>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</si>
  <si>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</si>
  <si>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</si>
  <si>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</si>
  <si>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</si>
  <si>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</si>
  <si>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</si>
  <si>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</si>
  <si>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</si>
  <si>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</si>
  <si>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</si>
  <si>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</si>
  <si>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</si>
  <si>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</si>
  <si>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</si>
  <si>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</si>
  <si>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</si>
  <si>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</si>
  <si>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</si>
  <si>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</si>
  <si>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</si>
  <si>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</si>
  <si>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</si>
  <si>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</si>
  <si>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</si>
  <si>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</si>
  <si>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</si>
  <si>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</si>
  <si>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</si>
  <si>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</si>
  <si>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</si>
  <si>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</si>
  <si>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</si>
  <si>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</si>
  <si>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</si>
  <si>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</si>
  <si>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</si>
  <si>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</si>
  <si>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</si>
  <si>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</si>
  <si>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</si>
  <si>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</si>
  <si>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</si>
  <si>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</si>
  <si>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</si>
  <si>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</si>
  <si>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</si>
  <si>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</si>
  <si>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</si>
  <si>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</si>
  <si>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</si>
  <si>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</si>
  <si>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</si>
  <si>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</si>
  <si>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</si>
  <si>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</si>
  <si>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</si>
  <si>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</si>
  <si>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</si>
  <si>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</si>
  <si>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</si>
  <si>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</si>
  <si>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</si>
  <si>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</si>
  <si>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</si>
  <si>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</si>
  <si>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</si>
  <si>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</si>
  <si>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</si>
  <si>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</si>
  <si>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</si>
  <si>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</si>
  <si>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</si>
  <si>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</si>
  <si>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</si>
  <si>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</si>
  <si>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</si>
  <si>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</si>
  <si>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</si>
  <si>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</si>
  <si>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</si>
  <si>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</si>
  <si>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</si>
  <si>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</si>
  <si>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</si>
  <si>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</si>
  <si>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</si>
  <si>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</si>
  <si>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</si>
  <si>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</si>
  <si>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</si>
  <si>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</si>
  <si>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</si>
  <si>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</si>
  <si>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</si>
  <si>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</si>
  <si>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</si>
  <si>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</si>
  <si>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</si>
  <si>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</si>
  <si>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</si>
  <si>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</si>
  <si>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</si>
  <si>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</si>
  <si>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</si>
  <si>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</si>
  <si>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</si>
  <si>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</si>
  <si>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</si>
  <si>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</si>
  <si>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</si>
  <si>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</si>
  <si>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</si>
  <si>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</si>
  <si>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</si>
  <si>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</si>
  <si>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</si>
  <si>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</si>
  <si>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</si>
  <si>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</si>
  <si>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</si>
  <si>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</si>
  <si>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</si>
  <si>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</si>
  <si>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</si>
  <si>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</si>
  <si>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</si>
  <si>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</si>
  <si>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</si>
  <si>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</si>
  <si>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</si>
  <si>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</si>
  <si>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</si>
  <si>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</si>
  <si>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</si>
  <si>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</si>
  <si>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</si>
  <si>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</si>
  <si>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</si>
  <si>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</si>
  <si>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</si>
  <si>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</si>
  <si>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</si>
  <si>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</si>
  <si>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</si>
  <si>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</si>
  <si>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</si>
  <si>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</si>
  <si>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</si>
  <si>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</si>
  <si>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</si>
  <si>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</si>
  <si>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</si>
  <si>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</si>
  <si>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</si>
  <si>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</si>
  <si>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</si>
  <si>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</si>
  <si>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</si>
  <si>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</si>
  <si>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</si>
  <si>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</si>
  <si>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</si>
  <si>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</si>
  <si>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</si>
  <si>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</si>
  <si>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</si>
  <si>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</si>
  <si>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</si>
  <si>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</si>
  <si>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</si>
  <si>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</si>
  <si>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</si>
  <si>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</si>
  <si>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</si>
  <si>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</si>
  <si>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</si>
  <si>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</si>
  <si>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</si>
  <si>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</si>
  <si>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</si>
  <si>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</si>
  <si>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</si>
  <si>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</si>
  <si>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</si>
  <si>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</si>
  <si>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</si>
  <si>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</si>
  <si>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</si>
  <si>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</si>
  <si>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</si>
  <si>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</si>
  <si>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</si>
  <si>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</si>
  <si>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</si>
  <si>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</si>
  <si>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</si>
  <si>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</si>
  <si>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</si>
  <si>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</si>
  <si>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</si>
  <si>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</si>
  <si>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</si>
  <si>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</si>
  <si>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</si>
  <si>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</si>
  <si>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</si>
  <si>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</si>
  <si>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</si>
  <si>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</si>
  <si>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上奥世纪中心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</si>
  <si>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</si>
  <si>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</si>
  <si>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</si>
  <si>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</si>
  <si>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</si>
  <si>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</si>
  <si>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</si>
  <si>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</si>
  <si>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</si>
  <si>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</si>
  <si>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</si>
  <si>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</si>
  <si>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</si>
  <si>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</si>
  <si>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</si>
  <si>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</si>
  <si>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</si>
  <si>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</si>
  <si>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</si>
  <si>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</si>
  <si>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</si>
  <si>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</si>
  <si>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</si>
  <si>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</si>
  <si>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</si>
  <si>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</si>
  <si>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</si>
  <si>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</si>
  <si>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</si>
  <si>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</si>
  <si>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</si>
  <si>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</si>
  <si>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</si>
  <si>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</si>
  <si>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</si>
  <si>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</si>
  <si>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</si>
  <si>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</si>
  <si>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</si>
  <si>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</si>
  <si>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</si>
  <si>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</si>
  <si>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</si>
  <si>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</si>
  <si>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</si>
  <si>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</si>
  <si>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</si>
  <si>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</si>
  <si>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</si>
  <si>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</si>
  <si>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</si>
  <si>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</si>
  <si>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</si>
  <si>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</si>
  <si>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</si>
  <si>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</si>
  <si>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</si>
  <si>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</si>
  <si>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</si>
  <si>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</si>
  <si>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</si>
  <si>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</si>
  <si>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</si>
  <si>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</si>
  <si>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</si>
  <si>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</si>
  <si>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</si>
  <si>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</si>
  <si>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</si>
  <si>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</si>
  <si>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</si>
  <si>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</si>
  <si>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</si>
  <si>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</si>
  <si>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</si>
  <si>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普装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</si>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</sst>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vertAlign val="superscript"/>
      <sz val="10"/>
      <color indexed="8"/>
      <name val="Arial"/>
      <charset val="134"/>
    </font>
    <font>
      <b/>
      <sz val="16"/>
      <color indexed="10"/>
      <name val="楷体_GB2312"/>
      <charset val="134"/>
    </font>
    <font>
      <vertAlign val="superscript"/>
      <sz val="10"/>
      <color theme="1"/>
      <name val="宋体"/>
      <charset val="134"/>
    </font>
    <font>
      <b/>
      <sz val="14"/>
      <color indexed="10"/>
      <name val="宋体"/>
      <charset val="134"/>
      <scheme val="minor"/>
    </font>
    <font>
      <b/>
      <vertAlign val="subscript"/>
      <sz val="10"/>
      <name val="宋体"/>
      <charset val="134"/>
    </font>
    <font>
      <b/>
      <vertAlign val="subscript"/>
      <sz val="10"/>
      <name val="Arial"/>
      <charset val="134"/>
    </font>
    <font>
      <sz val="10"/>
      <color theme="9" tint="-0.249977111117893"/>
      <name val="宋体"/>
      <charset val="134"/>
    </font>
    <font>
      <sz val="12"/>
      <color indexed="8"/>
      <name val="宋体"/>
      <charset val="134"/>
    </font>
    <font>
      <b/>
      <sz val="14"/>
      <color theme="1"/>
      <name val="宋体"/>
      <charset val="134"/>
    </font>
    <font>
      <sz val="12"/>
      <color theme="1"/>
      <name val="宋体"/>
      <charset val="134"/>
    </font>
    <font>
      <sz val="8"/>
      <color indexed="8"/>
      <name val="仿宋_GB2312"/>
      <charset val="134"/>
    </font>
    <font>
      <b/>
      <vertAlign val="subscript"/>
      <sz val="10"/>
      <color theme="1"/>
      <name val="Arial"/>
      <charset val="134"/>
    </font>
    <font>
      <b/>
      <i/>
      <sz val="14"/>
      <color theme="3" tint="0.399975585192419"/>
      <name val="宋体"/>
      <charset val="134"/>
    </font>
    <font>
      <vertAlign val="subscript"/>
      <sz val="10"/>
      <color indexed="8"/>
      <name val="宋体"/>
      <charset val="134"/>
    </font>
    <font>
      <sz val="11"/>
      <color indexed="53"/>
      <name val="宋体"/>
      <charset val="134"/>
    </font>
    <font>
      <i/>
      <sz val="11"/>
      <color theme="3" tint="0.399975585192419"/>
      <name val="宋体"/>
      <charset val="134"/>
    </font>
    <font>
      <sz val="8"/>
      <color indexed="8"/>
      <name val="宋体"/>
      <charset val="134"/>
    </font>
    <font>
      <sz val="10"/>
      <color indexed="8"/>
      <name val="楷体_GB2312"/>
      <charset val="134"/>
    </font>
    <font>
      <b/>
      <vertAlign val="subscript"/>
      <sz val="10"/>
      <name val="楷体_GB2312"/>
      <charset val="134"/>
    </font>
    <font>
      <sz val="10"/>
      <color rgb="FF000000"/>
      <name val="宋体"/>
      <charset val="134"/>
    </font>
    <font>
      <sz val="10"/>
      <color rgb="FF707070"/>
      <name val="宋体"/>
      <charset val="134"/>
    </font>
    <font>
      <b/>
      <sz val="11"/>
      <color indexed="10"/>
      <name val="宋体"/>
      <charset val="134"/>
    </font>
    <font>
      <sz val="12"/>
      <color theme="9" tint="-0.249977111117893"/>
      <name val="宋体"/>
      <charset val="134"/>
    </font>
    <font>
      <sz val="10"/>
      <color theme="4"/>
      <name val="宋体"/>
      <charset val="134"/>
    </font>
    <font>
      <b/>
      <sz val="18"/>
      <color indexed="10"/>
      <name val="΢ȭхڬˎ̥"/>
      <charset val="134"/>
    </font>
    <font>
      <b/>
      <sz val="14"/>
      <color rgb="FF000000"/>
      <name val="宋体"/>
      <charset val="134"/>
    </font>
    <font>
      <sz val="14"/>
      <color theme="1"/>
      <name val="宋体"/>
      <charset val="134"/>
    </font>
    <font>
      <b/>
      <sz val="10"/>
      <color indexed="10"/>
      <name val="楷体_GB2312"/>
      <charset val="134"/>
    </font>
    <font>
      <vertAlign val="subscript"/>
      <sz val="10"/>
      <color theme="1"/>
      <name val="Arial"/>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b/>
      <sz val="12"/>
      <color rgb="FF000000"/>
      <name val="宋体"/>
      <charset val="134"/>
    </font>
    <font>
      <sz val="9"/>
      <color indexed="8"/>
      <name val="仿宋_GB2312"/>
      <charset val="134"/>
    </font>
    <font>
      <sz val="12"/>
      <color rgb="FF000000"/>
      <name val="宋体"/>
      <charset val="134"/>
    </font>
    <font>
      <b/>
      <sz val="10"/>
      <color indexed="53"/>
      <name val="宋体"/>
      <charset val="134"/>
    </font>
    <font>
      <sz val="10"/>
      <color rgb="FF0070C0"/>
      <name val="Arial"/>
      <charset val="134"/>
    </font>
    <font>
      <sz val="14"/>
      <color rgb="FF000000"/>
      <name val="宋体"/>
      <charset val="134"/>
    </font>
    <font>
      <b/>
      <sz val="11"/>
      <name val="仿宋_GB2312"/>
      <charset val="134"/>
    </font>
    <font>
      <b/>
      <vertAlign val="superscript"/>
      <sz val="8"/>
      <color rgb="FF666666"/>
      <name val="微软雅黑"/>
      <charset val="134"/>
    </font>
    <font>
      <b/>
      <sz val="11"/>
      <color rgb="FF666666"/>
      <name val="微软雅黑"/>
      <charset val="134"/>
    </font>
    <font>
      <sz val="10"/>
      <color indexed="10"/>
      <name val="宋体"/>
      <charset val="134"/>
    </font>
    <font>
      <sz val="10"/>
      <color indexed="53"/>
      <name val="宋体"/>
      <charset val="134"/>
    </font>
    <font>
      <b/>
      <vertAlign val="subscript"/>
      <sz val="10"/>
      <color indexed="8"/>
      <name val="宋体"/>
      <charset val="134"/>
    </font>
    <font>
      <i/>
      <sz val="10"/>
      <name val="楷体_GB2312"/>
      <charset val="134"/>
    </font>
    <font>
      <i/>
      <sz val="14"/>
      <color theme="3" tint="0.399975585192419"/>
      <name val="宋体"/>
      <charset val="134"/>
    </font>
    <font>
      <b/>
      <sz val="18"/>
      <color theme="1"/>
      <name val="宋体"/>
      <charset val="134"/>
    </font>
    <font>
      <sz val="14"/>
      <color theme="9" tint="-0.249977111117893"/>
      <name val="宋体"/>
      <charset val="134"/>
    </font>
    <font>
      <i/>
      <sz val="11"/>
      <color theme="1"/>
      <name val="宋体"/>
      <charset val="134"/>
    </font>
    <font>
      <sz val="11"/>
      <color indexed="8"/>
      <name val="仿宋_GB2312"/>
      <charset val="134"/>
    </font>
    <font>
      <vertAlign val="superscript"/>
      <sz val="10"/>
      <color theme="1"/>
      <name val="Arial"/>
      <charset val="134"/>
    </font>
    <font>
      <b/>
      <sz val="12"/>
      <color indexed="8"/>
      <name val="仿宋_GB2312"/>
      <charset val="134"/>
    </font>
    <font>
      <sz val="10"/>
      <color rgb="FF0070C0"/>
      <name val="楷体_GB2312"/>
      <charset val="134"/>
    </font>
    <font>
      <b/>
      <vertAlign val="superscript"/>
      <sz val="10"/>
      <color theme="1"/>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楷体_GB2312"/>
      <charset val="134"/>
    </font>
    <font>
      <b/>
      <sz val="9"/>
      <name val="宋体"/>
      <charset val="134"/>
    </font>
    <font>
      <sz val="11"/>
      <name val="楷体_GB2312"/>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估价对象为北京市房地产，为所有。根据《国有土地使用证》[]，估价对象（分摊）出让国有建设用地使用权面积为0平方米，建筑面积为68.74平方米。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估价对象为北京市房地产,属开发建设的，该项目尚在开发建设中。根据《国有土地使用证》[]，估价对象（分摊）出让国有建设用地使用权面积为0平方米，规划建筑面积为68.74平方米。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135.6034</v>
      </c>
    </row>
    <row r="21" s="4730" customFormat="1" spans="1:2">
      <c r="A21" s="4738" t="s">
        <v>21</v>
      </c>
      <c r="B21" s="4739">
        <f ca="1">'预评函-2'!D7</f>
        <v>2869799</v>
      </c>
    </row>
    <row r="22" s="4730" customFormat="1" spans="1:2">
      <c r="A22" s="4738" t="s">
        <v>22</v>
      </c>
      <c r="B22" s="4739" t="str">
        <f ca="1">'预评函-2'!D6</f>
        <v>壹佰叁拾伍万陆仟零叁拾肆元整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135.6034</v>
      </c>
    </row>
    <row r="31" s="4730" customFormat="1" spans="1:2">
      <c r="A31" s="4738" t="s">
        <v>31</v>
      </c>
      <c r="B31" s="4739">
        <f ca="1">'预评函-2'!D15</f>
        <v>2869799</v>
      </c>
    </row>
    <row r="32" s="4730" customFormat="1" spans="1:2">
      <c r="A32" s="4738" t="s">
        <v>32</v>
      </c>
      <c r="B32" s="4739" t="str">
        <f ca="1">'预评函-2'!D14</f>
        <v>壹佰叁拾伍万陆仟零叁拾肆元整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68.74</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68.74</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68.74</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68.74</v>
      </c>
      <c r="H5" s="2366">
        <f t="shared" ref="H5:AT5" si="0">SUM(H13:H656)</f>
        <v>68.74</v>
      </c>
      <c r="I5" s="2366">
        <f t="shared" si="0"/>
        <v>68.74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68.74</v>
      </c>
      <c r="BA5" s="2273">
        <f t="shared" si="1"/>
        <v>68.74</v>
      </c>
      <c r="BB5" s="2273">
        <f t="shared" si="1"/>
        <v>68.74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610</v>
      </c>
      <c r="D13" s="4243" t="s">
        <v>636</v>
      </c>
      <c r="E13" s="2366">
        <f>IF($C$3="是",ROUND($A$3*G13/$B$3,2),ROUND($A$3*(G13-AT13)/$B$3,2))</f>
        <v>0</v>
      </c>
      <c r="F13" s="2309"/>
      <c r="G13" s="945">
        <f>H13+AC13+AT13</f>
        <v>68.74</v>
      </c>
      <c r="H13" s="4203">
        <f>SUMIF(I$12:AB$12,"总值",I13:AB13)</f>
        <v>68.74</v>
      </c>
      <c r="I13" s="4244">
        <v>68.74</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610</v>
      </c>
      <c r="AY13" s="3432">
        <f>ROUND($AY$6*AZ13/$AZ$5,2)</f>
        <v>0</v>
      </c>
      <c r="AZ13" s="4247">
        <f>BA13+BL13</f>
        <v>68.74</v>
      </c>
      <c r="BA13" s="4247">
        <f>SUM(BB13:BK13)</f>
        <v>68.74</v>
      </c>
      <c r="BB13" s="4247">
        <f>IF($D13="是",I13-J13,0)</f>
        <v>68.74</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68.74</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68.74</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68.74</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68.74</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68.74</v>
      </c>
      <c r="F19" s="4161">
        <f>'数据-基础表'!I13</f>
        <v>68.74</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68.74</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68.74</v>
      </c>
      <c r="F27" s="1313">
        <f>IF(SUM(F19:F26)=E8,SUM(F19:F26),"地上面积有误")</f>
        <v>68.74</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68.74</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68.74</v>
      </c>
      <c r="F31" s="4173">
        <f>F27+F30</f>
        <v>68.74</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L18" sqref="L18"/>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68.74</v>
      </c>
      <c r="L6" s="3948">
        <v>3600</v>
      </c>
      <c r="M6" s="3949">
        <f t="shared" ref="M6:M14" si="1">ROUND(K6*L6/10000,0)</f>
        <v>25</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0.005</v>
      </c>
      <c r="AL6" s="3966">
        <v>0.001</v>
      </c>
      <c r="AM6" s="3967">
        <v>0.005</v>
      </c>
      <c r="AN6" s="3968" t="s">
        <v>285</v>
      </c>
      <c r="AO6" s="3953">
        <f ca="1">SUMIF(INDIRECT("'"&amp;AN6&amp;"'"&amp;"!A:A"),"总价",INDIRECT("'"&amp;AN6&amp;"'"&amp;"!B:B"))</f>
        <v>87.3152</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68.74</v>
      </c>
      <c r="L16" s="4005">
        <f>ROUND(M16*10000/SUM(K6:K14),0)</f>
        <v>3637</v>
      </c>
      <c r="M16" s="4005">
        <f>SUM(M6:M14)</f>
        <v>25</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0.03</v>
      </c>
      <c r="C33" s="4058" t="s">
        <v>752</v>
      </c>
      <c r="D33" s="4025"/>
      <c r="E33" s="4026"/>
      <c r="F33" s="4026"/>
      <c r="G33" s="4026"/>
      <c r="H33" s="3907"/>
      <c r="I33" s="3907">
        <f>300*K16/10000/L16</f>
        <v>0.000567005773989552</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0.01</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68.74</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135.6034</v>
      </c>
      <c r="C5" s="3809">
        <f ca="1">ROUND(B5*10000/$B$1,0)</f>
        <v>19727</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'数据-汇总表'!F19</f>
        <v>68.74</v>
      </c>
      <c r="C14" s="3823"/>
      <c r="D14" s="3823">
        <f ca="1">ROUND(E14*B14/10000,4)</f>
        <v>135.6034</v>
      </c>
      <c r="E14" s="3823">
        <f ca="1">结果表!G20</f>
        <v>19727</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4" sqref="I24"/>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68.74</v>
      </c>
      <c r="M18" s="2365">
        <f>IF(C1="",'数据-汇总表'!E3,SUMIF(项目类型,C1,'数据-汇总表'!E17:E26))</f>
        <v>68.74</v>
      </c>
    </row>
    <row r="19" spans="1:36">
      <c r="A19" s="1641" t="s">
        <v>873</v>
      </c>
      <c r="B19" s="3446" t="s">
        <v>874</v>
      </c>
      <c r="C19" s="3447">
        <f ca="1">SUMIF(INDIRECT("'"&amp;C4&amp;"'"&amp;"!A:A"),结果表!B19,INDIRECT("'"&amp;C4&amp;"'"&amp;"!B:B"))</f>
        <v>156.2941</v>
      </c>
      <c r="D19" s="3448">
        <f ca="1">SUMIF(INDIRECT("'"&amp;D4&amp;"'"&amp;"!A:A"),结果表!B19,INDIRECT("'"&amp;D4&amp;"'"&amp;"!B:B"))</f>
        <v>87.3152</v>
      </c>
      <c r="E19" s="1641" t="s">
        <v>875</v>
      </c>
      <c r="F19" s="3446" t="s">
        <v>874</v>
      </c>
      <c r="G19" s="3449">
        <f ca="1">ROUND(C19*$C$18+D19*$D$18,0)</f>
        <v>136</v>
      </c>
      <c r="H19" s="3450" t="s">
        <v>876</v>
      </c>
      <c r="I19" s="2350">
        <f ca="1">ROUND(C19*$C$18+D19*$D$18,4)</f>
        <v>135.6004</v>
      </c>
      <c r="K19" s="1301" t="s">
        <v>544</v>
      </c>
      <c r="L19" s="2365">
        <f>IF(C1="",'数据-汇总表'!D3,SUMIF(项目类型,C1,'数据-汇总表'!D17:D26)+SUMIF(项目类型,C1,'数据-汇总表'!H17:H27))</f>
        <v>0</v>
      </c>
      <c r="M19" s="2365">
        <f>IF(C1="",'数据-汇总表'!D3,SUMIF(项目类型,C1,'数据-汇总表'!D17:D26))</f>
        <v>0</v>
      </c>
    </row>
    <row r="20" spans="1:36">
      <c r="A20" s="3451"/>
      <c r="B20" s="3452" t="s">
        <v>877</v>
      </c>
      <c r="C20" s="3453">
        <f ca="1">SUMIF(INDIRECT("'"&amp;C4&amp;"'"&amp;"!A:A"),结果表!B20,INDIRECT("'"&amp;C4&amp;"'"&amp;"!B:B"))</f>
        <v>22737</v>
      </c>
      <c r="D20" s="3454">
        <f ca="1">SUMIF(INDIRECT("'"&amp;D4&amp;"'"&amp;"!A:A"),结果表!B20,INDIRECT("'"&amp;D4&amp;"'"&amp;"!B:B"))</f>
        <v>12702</v>
      </c>
      <c r="E20" s="3451"/>
      <c r="F20" s="3452" t="s">
        <v>877</v>
      </c>
      <c r="G20" s="2113">
        <f ca="1">ROUND(C20*$C$18+D20*$D$18,0)</f>
        <v>19727</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0.789998763101957</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19727</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136</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135.6034</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135.6034</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4</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11</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11</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1</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1</v>
      </c>
      <c r="O57" s="3597"/>
      <c r="P57" s="3598">
        <f ca="1">N57/M49</f>
        <v>0.00737444636343927</v>
      </c>
      <c r="R57" s="3599" t="s">
        <v>973</v>
      </c>
      <c r="S57" s="3600"/>
    </row>
    <row r="58" ht="25.2" spans="1:35">
      <c r="A58" s="3576" t="s">
        <v>946</v>
      </c>
      <c r="B58" s="2758" t="s">
        <v>974</v>
      </c>
      <c r="C58" s="2759"/>
      <c r="D58" s="3557">
        <f ca="1">IF(H58="转让取得",C81,C97)</f>
        <v>61</v>
      </c>
      <c r="E58" s="2368" t="s">
        <v>967</v>
      </c>
      <c r="F58" s="1301" t="s">
        <v>124</v>
      </c>
      <c r="G58" s="1302"/>
      <c r="H58" s="3591"/>
      <c r="I58" s="3592"/>
      <c r="J58" s="967"/>
      <c r="K58" s="967"/>
      <c r="L58" s="3594" t="s">
        <v>975</v>
      </c>
      <c r="M58" s="3601"/>
      <c r="N58" s="3602" t="str">
        <f ca="1">NUMBERSTRING(INT(N57*10000),2)&amp;"元整"</f>
        <v>壹万元整</v>
      </c>
      <c r="O58" s="3603"/>
      <c r="R58" s="3604"/>
      <c r="S58" s="3605"/>
    </row>
    <row r="59" ht="24.75" spans="1:35">
      <c r="A59" s="3606" t="s">
        <v>976</v>
      </c>
      <c r="B59" s="3607"/>
      <c r="C59" s="3607"/>
      <c r="D59" s="3608">
        <f ca="1">IF(H59="非个人房产","——",IF(H59="个人住宅（满五唯一有凭证）",0,IF(H59="个人其他（无凭证）",ROUND(D45/(1+'数据-取费表'!C43)*F59,0),ROUND(C67*F59,0))))</f>
        <v>1</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134.6034</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壹佰叁拾肆万陆仟零叁拾肆元整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19582</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136</v>
      </c>
      <c r="D63" s="3637"/>
      <c r="E63" s="3638" t="s">
        <v>993</v>
      </c>
      <c r="F63" s="3576">
        <v>1</v>
      </c>
      <c r="G63" s="3041" t="s">
        <v>955</v>
      </c>
      <c r="H63" s="2367">
        <f ca="1">H64-H66</f>
        <v>11</v>
      </c>
      <c r="I63" s="3639"/>
      <c r="J63" s="3640" t="s">
        <v>994</v>
      </c>
      <c r="K63" s="3641" t="s">
        <v>995</v>
      </c>
      <c r="L63" s="3642">
        <f ca="1">IF(M49&gt;10000,M49*0.5%,IF(AND(M49&gt;1000,M49&lt;=10000),M49*1%,IF(AND(M49&gt;100,M49&lt;=1000),M49*3%,IF(AND(M49&gt;10,M49&lt;=100),M49*5%,M49*8%))))</f>
        <v>4.068102</v>
      </c>
      <c r="M63" s="2365">
        <f ca="1">ROUND(L63,1)</f>
        <v>4.1</v>
      </c>
      <c r="N63" s="1349"/>
      <c r="Z63" s="3415"/>
      <c r="AI63" s="3416"/>
    </row>
    <row r="64" ht="14.25" customHeight="1" spans="1:35">
      <c r="A64" s="3643" t="s">
        <v>996</v>
      </c>
      <c r="B64" s="3644" t="s">
        <v>997</v>
      </c>
      <c r="C64" s="850">
        <f ca="1">D45</f>
        <v>136</v>
      </c>
      <c r="D64" s="3645"/>
      <c r="E64" s="3646"/>
      <c r="F64" s="3576">
        <v>2</v>
      </c>
      <c r="G64" s="3041" t="s">
        <v>998</v>
      </c>
      <c r="H64" s="2367">
        <f ca="1">ROUND(H65*I64/(1+I64),0)</f>
        <v>11</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1.2204306</v>
      </c>
      <c r="M64" s="2365">
        <f ca="1" t="shared" ref="M64:M65" si="1">ROUND(L64,1)</f>
        <v>1.2</v>
      </c>
      <c r="N64" s="1337" t="s">
        <v>1000</v>
      </c>
      <c r="Z64" s="3415"/>
      <c r="AI64" s="3416"/>
    </row>
    <row r="65" ht="14.25" customHeight="1" spans="1:35">
      <c r="A65" s="3643" t="s">
        <v>1001</v>
      </c>
      <c r="B65" s="3644" t="s">
        <v>1002</v>
      </c>
      <c r="C65" s="3648"/>
      <c r="D65" s="3649"/>
      <c r="E65" s="3646"/>
      <c r="F65" s="3643" t="s">
        <v>996</v>
      </c>
      <c r="G65" s="3249" t="s">
        <v>1003</v>
      </c>
      <c r="H65" s="2367">
        <f ca="1">D45</f>
        <v>136</v>
      </c>
      <c r="I65" s="3639"/>
      <c r="J65" s="3640"/>
      <c r="K65" s="3641" t="s">
        <v>1004</v>
      </c>
      <c r="L65" s="3642">
        <f ca="1">IF(M49&gt;1000,M49*0.1%,IF(AND(M49&gt;500,M49&lt;=1000),M49*0.5%,IF(AND(M49&gt;50,M49&lt;=500),M49*1%,IF(AND(M49&gt;1,M49&lt;=50),M49*1.5%))))</f>
        <v>1.356034</v>
      </c>
      <c r="M65" s="2365">
        <f ca="1" t="shared" si="1"/>
        <v>1.4</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0.678017</v>
      </c>
      <c r="M66" s="2365">
        <f ca="1">IF(L66&gt;0.5,0.5,ROUND(L66,0))</f>
        <v>0.5</v>
      </c>
      <c r="N66" s="1337" t="s">
        <v>1009</v>
      </c>
      <c r="Z66" s="3415"/>
      <c r="AI66" s="3416"/>
    </row>
    <row r="67" ht="14.25" customHeight="1" spans="1:35">
      <c r="A67" s="3635" t="s">
        <v>1010</v>
      </c>
      <c r="B67" s="3653" t="s">
        <v>1003</v>
      </c>
      <c r="C67" s="850">
        <f ca="1">C63-C66</f>
        <v>136</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0.5890085</v>
      </c>
      <c r="M67" s="2365">
        <f ca="1">ROUND(L67*0.9,1)</f>
        <v>0.5</v>
      </c>
      <c r="N67" s="1349"/>
      <c r="Z67" s="3415"/>
      <c r="AI67" s="3416"/>
    </row>
    <row r="68" ht="14.25" customHeight="1" spans="1:35">
      <c r="A68" s="3655" t="s">
        <v>1013</v>
      </c>
      <c r="B68" s="3656" t="s">
        <v>1014</v>
      </c>
      <c r="C68" s="3657">
        <f ca="1">IF(C67&lt;=0,0,ROUND(C67*D68,0))</f>
        <v>7</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6.78017</v>
      </c>
      <c r="M68" s="2365">
        <f ca="1">ROUND(L68,1)</f>
        <v>6.8</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15</v>
      </c>
      <c r="N69" s="3668">
        <f ca="1">M69/M49</f>
        <v>0.110616695451589</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125</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15</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15</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110</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7.33333333333333</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61</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125</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15</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15</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110</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7.33333333333333</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61</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135.6034</v>
      </c>
      <c r="I101" s="2350"/>
    </row>
    <row r="102" ht="18.75" customHeight="1" spans="1:35">
      <c r="A102" s="3735" t="s">
        <v>1072</v>
      </c>
      <c r="B102" s="3736" t="s">
        <v>1071</v>
      </c>
      <c r="C102" s="3737">
        <f ca="1">C19</f>
        <v>156.2941</v>
      </c>
      <c r="D102" s="3738">
        <f ca="1">D19</f>
        <v>87.3152</v>
      </c>
      <c r="E102" s="3731"/>
      <c r="F102" s="3732"/>
      <c r="G102" s="3733" t="s">
        <v>99</v>
      </c>
      <c r="H102" s="3127">
        <f ca="1">I118</f>
        <v>2869799</v>
      </c>
      <c r="I102" s="2350"/>
    </row>
    <row r="103" ht="42.75" customHeight="1" spans="1:35">
      <c r="A103" s="3735"/>
      <c r="B103" s="3736" t="s">
        <v>99</v>
      </c>
      <c r="C103" s="3739">
        <f ca="1">C20</f>
        <v>22737</v>
      </c>
      <c r="D103" s="3740">
        <f ca="1">D20</f>
        <v>12702</v>
      </c>
      <c r="E103" s="3741" t="s">
        <v>1073</v>
      </c>
      <c r="F103" s="3742"/>
      <c r="G103" s="3743" t="s">
        <v>102</v>
      </c>
      <c r="H103" s="3734">
        <f>IF(D36="正常操作",H104+H105+H106,H105+H106)</f>
        <v>0</v>
      </c>
      <c r="I103" s="2350"/>
    </row>
    <row r="104" ht="18.75" customHeight="1" spans="1:35">
      <c r="A104" s="3735" t="s">
        <v>1074</v>
      </c>
      <c r="B104" s="3744" t="s">
        <v>1071</v>
      </c>
      <c r="C104" s="3745">
        <f ca="1">H118</f>
        <v>135.6034</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2869799</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135.6034</v>
      </c>
      <c r="I107" s="2350"/>
    </row>
    <row r="108" ht="18.75" customHeight="1" spans="1:35">
      <c r="A108" s="2350"/>
      <c r="B108" s="2350"/>
      <c r="C108" s="2350"/>
      <c r="D108" s="2350"/>
      <c r="E108" s="726"/>
      <c r="F108" s="3732"/>
      <c r="G108" s="3733" t="s">
        <v>99</v>
      </c>
      <c r="H108" s="3127">
        <f ca="1">IF(H107=H101,H102,ROUND(H107*10000/'数据-汇总表'!E3,0))</f>
        <v>2869799</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19727</v>
      </c>
    </row>
    <row r="118" ht="24.75" customHeight="1" spans="1:27">
      <c r="A118" s="3773" t="str">
        <f>项目基本情况!S2</f>
        <v>北京市房地产</v>
      </c>
      <c r="B118" s="3774">
        <f>M18</f>
        <v>68.74</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135.6034</v>
      </c>
      <c r="I118" s="3433">
        <f ca="1">ROUND(IF(D32="楼面单价",C32,N117*10000/B118),0)</f>
        <v>2869799</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壹佰叁拾伍万陆仟零叁拾肆元整</v>
      </c>
      <c r="I119" s="1773"/>
      <c r="K119" s="3769" t="s">
        <v>1090</v>
      </c>
      <c r="L119" s="3772" t="e">
        <f ca="1">C34</f>
        <v>#REF!</v>
      </c>
      <c r="M119" s="3772" t="e">
        <f ca="1">C35</f>
        <v>#REF!</v>
      </c>
      <c r="N119" s="3772">
        <f ca="1">C32</f>
        <v>19727</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135.6034</v>
      </c>
      <c r="I122" s="3784"/>
      <c r="AA122" s="2264"/>
    </row>
    <row r="123" ht="18.75" customHeight="1" spans="1:27">
      <c r="A123" s="1453" t="s">
        <v>1089</v>
      </c>
      <c r="B123" s="3780"/>
      <c r="C123" s="3780"/>
      <c r="D123" s="3780"/>
      <c r="E123" s="3780"/>
      <c r="F123" s="3780"/>
      <c r="G123" s="1773"/>
      <c r="H123" s="1453" t="str">
        <f ca="1">NUMBERSTRING(INT(H122*10000),2)&amp;"元整"</f>
        <v>壹佰叁拾伍万陆仟零叁拾肆元整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29</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4219</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37</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29</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25</v>
      </c>
      <c r="D10" s="3299"/>
      <c r="E10" s="471"/>
      <c r="F10" s="3307">
        <f ca="1">IF('数据-取费表'!B24=0,1,IF(B1="",'数据-取费表'!N16,INDIRECT("'数据-取费表'!n"&amp;$G$1)))</f>
        <v>1</v>
      </c>
      <c r="G10" s="482" t="s">
        <v>1120</v>
      </c>
    </row>
    <row r="11" s="407" customFormat="1" spans="1:9">
      <c r="A11" s="3305" t="s">
        <v>1115</v>
      </c>
      <c r="B11" s="3306" t="s">
        <v>1121</v>
      </c>
      <c r="C11" s="641">
        <f ca="1">ROUND(C10*F11,0)</f>
        <v>1</v>
      </c>
      <c r="D11" s="471"/>
      <c r="E11" s="471"/>
      <c r="F11" s="3308">
        <f>'数据-取费表'!B33</f>
        <v>0.03</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3</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1</v>
      </c>
      <c r="D16" s="664">
        <f ca="1">IF(B1="",'数据-汇总表'!E6,IF(INDIRECT("'数据-取费表'!c"&amp;$G$1)="住宅",INDIRECT("'数据-取费表'!s"&amp;$G$1),INDIRECT("'数据-取费表'!k"&amp;$G$1)+INDIRECT("'数据-取费表'!s"&amp;$G$1)))</f>
        <v>68.74</v>
      </c>
      <c r="E16" s="664">
        <f>'数据-取费表'!B28</f>
        <v>200</v>
      </c>
      <c r="F16" s="644"/>
      <c r="G16" s="444"/>
    </row>
    <row r="17" s="407" customFormat="1" spans="1:7">
      <c r="A17" s="662" t="s">
        <v>1135</v>
      </c>
      <c r="B17" s="3314" t="s">
        <v>1136</v>
      </c>
      <c r="C17" s="641">
        <f ca="1">IF(G17="已包含在土地取得成本中","0",ROUND(D17*E17/10000,0))</f>
        <v>1</v>
      </c>
      <c r="D17" s="623">
        <f ca="1">D15+D16</f>
        <v>68.74</v>
      </c>
      <c r="E17" s="623">
        <f>'数据-取费表'!B31</f>
        <v>200</v>
      </c>
      <c r="F17" s="3315"/>
      <c r="G17" s="661"/>
    </row>
    <row r="18" s="407" customFormat="1" spans="1:7">
      <c r="A18" s="3316" t="s">
        <v>1137</v>
      </c>
      <c r="B18" s="3314" t="s">
        <v>1138</v>
      </c>
      <c r="C18" s="641">
        <f ca="1">ROUND(E18*D18*F10/10000,0)</f>
        <v>2</v>
      </c>
      <c r="D18" s="641">
        <f ca="1">D17</f>
        <v>68.74</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0.01</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5+0.003V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5</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8</v>
      </c>
      <c r="D31" s="688"/>
      <c r="E31" s="688"/>
      <c r="F31" s="3331">
        <f>IF('数据-取费表'!B24=0,'数据-取费表'!N16,1)</f>
        <v>0.77</v>
      </c>
      <c r="G31" s="690" t="s">
        <v>1167</v>
      </c>
    </row>
    <row r="32" s="407" customFormat="1" ht="15.6" spans="1:7">
      <c r="A32" s="687" t="s">
        <v>1168</v>
      </c>
      <c r="B32" s="617" t="s">
        <v>1169</v>
      </c>
      <c r="C32" s="618">
        <f ca="1">C5-C31</f>
        <v>29</v>
      </c>
      <c r="D32" s="688"/>
      <c r="E32" s="688"/>
      <c r="F32" s="689"/>
      <c r="G32" s="3332" t="s">
        <v>1170</v>
      </c>
    </row>
    <row r="33" s="407" customFormat="1" ht="16.35" spans="1:7">
      <c r="A33" s="3333">
        <v>4</v>
      </c>
      <c r="B33" s="3334" t="s">
        <v>1171</v>
      </c>
      <c r="C33" s="3335">
        <f ca="1">ROUND(C32*(1+F33),0)</f>
        <v>32</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28</v>
      </c>
      <c r="D40" s="3350"/>
      <c r="E40" s="3350"/>
      <c r="F40" s="3350"/>
      <c r="G40" s="3351"/>
    </row>
    <row r="41" ht="15.6" spans="1:7">
      <c r="A41" s="3402" t="s">
        <v>1113</v>
      </c>
      <c r="B41" s="3403" t="str">
        <f t="shared" ref="B41:C43" si="0">B10</f>
        <v>  建安费用</v>
      </c>
      <c r="C41" s="776">
        <f ca="1" t="shared" si="0"/>
        <v>25</v>
      </c>
      <c r="D41" s="3354"/>
      <c r="E41" s="3354"/>
      <c r="F41" s="785"/>
      <c r="G41" s="3355"/>
    </row>
    <row r="42" ht="15.6" spans="1:7">
      <c r="A42" s="3402" t="s">
        <v>1115</v>
      </c>
      <c r="B42" s="3403" t="str">
        <f t="shared" si="0"/>
        <v>  前期费用</v>
      </c>
      <c r="C42" s="776">
        <f ca="1" t="shared" si="0"/>
        <v>1</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2</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4+0.003V建1</v>
      </c>
      <c r="D52" s="3373"/>
      <c r="E52" s="3363"/>
      <c r="F52" s="3374">
        <f ca="1">F27</f>
        <v>0.15</v>
      </c>
      <c r="G52" s="3375" t="s">
        <v>1185</v>
      </c>
    </row>
    <row r="53" spans="1:7">
      <c r="A53" s="3402" t="s">
        <v>1113</v>
      </c>
      <c r="B53" s="3406" t="s">
        <v>1186</v>
      </c>
      <c r="C53" s="776">
        <f ca="1">ROUND((C40+C47)*F27,0)</f>
        <v>4</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35</v>
      </c>
      <c r="D56" s="682"/>
      <c r="E56" s="682"/>
      <c r="F56" s="3384"/>
      <c r="G56" s="3383" t="s">
        <v>1191</v>
      </c>
    </row>
    <row r="57" ht="14.4" spans="1:7">
      <c r="A57" s="3292" t="s">
        <v>1192</v>
      </c>
      <c r="B57" s="3409" t="s">
        <v>1166</v>
      </c>
      <c r="C57" s="651">
        <f ca="1">ROUND(C56*(1-F57),0)</f>
        <v>8</v>
      </c>
      <c r="D57" s="682"/>
      <c r="E57" s="682"/>
      <c r="F57" s="3384">
        <f>F31</f>
        <v>0.77</v>
      </c>
      <c r="G57" s="3383" t="s">
        <v>1193</v>
      </c>
    </row>
    <row r="58" ht="18" spans="1:7">
      <c r="A58" s="3292" t="s">
        <v>1194</v>
      </c>
      <c r="B58" s="3386" t="s">
        <v>1195</v>
      </c>
      <c r="C58" s="651">
        <f ca="1">C56-C57</f>
        <v>27</v>
      </c>
      <c r="D58" s="682"/>
      <c r="E58" s="682"/>
      <c r="F58" s="3384"/>
      <c r="G58" s="3383" t="s">
        <v>1196</v>
      </c>
    </row>
    <row r="59" ht="15.15" spans="1:7">
      <c r="A59" s="3410" t="s">
        <v>1197</v>
      </c>
      <c r="B59" s="3411" t="s">
        <v>1198</v>
      </c>
      <c r="C59" s="3388">
        <f ca="1">ROUND(C58*(1+F59),0)</f>
        <v>29</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0.0689999999999999</v>
      </c>
    </row>
    <row r="64" ht="21" customHeight="1" spans="1:7">
      <c r="B64" s="1280" t="s">
        <v>1202</v>
      </c>
      <c r="C64" s="3396">
        <f ca="1">ROUND(C58/C32,3)</f>
        <v>0.931</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28.3464</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4124</v>
      </c>
      <c r="C3" s="416" t="s">
        <v>1102</v>
      </c>
      <c r="D3" s="416">
        <f ca="1">IF(C1="含税",E2+C33,E2+C32)</f>
        <v>283464</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363067</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294208</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247464</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7424</v>
      </c>
      <c r="D11" s="471"/>
      <c r="E11" s="471"/>
      <c r="F11" s="3308">
        <f>'数据-取费表'!B33</f>
        <v>0.03</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34370</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13748</v>
      </c>
      <c r="D16" s="664">
        <f ca="1">IF(B1="",'数据-汇总表'!E6,IF(INDIRECT("'数据-取费表'!c"&amp;$G$1)="住宅",INDIRECT("'数据-取费表'!s"&amp;$G$1),INDIRECT("'数据-取费表'!k"&amp;$G$1)+INDIRECT("'数据-取费表'!s"&amp;$G$1)))</f>
        <v>68.74</v>
      </c>
      <c r="E16" s="664">
        <f>'数据-取费表'!B28</f>
        <v>200</v>
      </c>
      <c r="F16" s="644"/>
      <c r="G16" s="444"/>
      <c r="J16" s="405"/>
    </row>
    <row r="17" s="407" customFormat="1" ht="15" spans="1:10">
      <c r="A17" s="662" t="s">
        <v>1135</v>
      </c>
      <c r="B17" s="3314" t="s">
        <v>1136</v>
      </c>
      <c r="C17" s="641">
        <f ca="1">IF(G17="已包含在土地取得成本中","0",ROUND(D17*E17,0))</f>
        <v>13748</v>
      </c>
      <c r="D17" s="623">
        <f ca="1">D15+D16</f>
        <v>68.74</v>
      </c>
      <c r="E17" s="623">
        <f>'数据-取费表'!B31</f>
        <v>200</v>
      </c>
      <c r="F17" s="3315"/>
      <c r="G17" s="661"/>
      <c r="J17" s="405"/>
    </row>
    <row r="18" s="407" customFormat="1" ht="15" spans="1:10">
      <c r="A18" s="3316" t="s">
        <v>1137</v>
      </c>
      <c r="B18" s="3314" t="s">
        <v>1138</v>
      </c>
      <c r="C18" s="641">
        <f ca="1">ROUND(E18*D18*F10,0)</f>
        <v>20622</v>
      </c>
      <c r="D18" s="641">
        <f ca="1">D17</f>
        <v>68.74</v>
      </c>
      <c r="E18" s="641">
        <f>'数据-取费表'!B35</f>
        <v>300</v>
      </c>
      <c r="F18" s="3308"/>
      <c r="G18" s="482" t="str">
        <f ca="1">IF(F10=100%,"","按工程进度计取")</f>
        <v/>
      </c>
      <c r="J18" s="405"/>
    </row>
    <row r="19" s="407" customFormat="1" ht="15" spans="1:10">
      <c r="A19" s="3305" t="s">
        <v>1139</v>
      </c>
      <c r="B19" s="3306" t="s">
        <v>1140</v>
      </c>
      <c r="C19" s="641">
        <f ca="1">ROUND(C10*F19,0)</f>
        <v>2475</v>
      </c>
      <c r="D19" s="471"/>
      <c r="E19" s="471"/>
      <c r="F19" s="3308">
        <f>'数据-取费表'!B36</f>
        <v>0.01</v>
      </c>
      <c r="G19" s="482" t="s">
        <v>1141</v>
      </c>
      <c r="J19" s="405"/>
    </row>
    <row r="20" s="407" customFormat="1" ht="15" spans="1:10">
      <c r="A20" s="3305" t="s">
        <v>1142</v>
      </c>
      <c r="B20" s="3306" t="s">
        <v>1143</v>
      </c>
      <c r="C20" s="641">
        <f ca="1">ROUND(C10*F20,0)</f>
        <v>2475</v>
      </c>
      <c r="D20" s="3317"/>
      <c r="E20" s="467"/>
      <c r="F20" s="3308">
        <f>'数据-取费表'!B37</f>
        <v>0.01</v>
      </c>
      <c r="G20" s="482" t="s">
        <v>1141</v>
      </c>
      <c r="J20" s="405"/>
    </row>
    <row r="21" s="599" customFormat="1" ht="15" spans="1:10">
      <c r="A21" s="3292" t="s">
        <v>1144</v>
      </c>
      <c r="B21" s="3293" t="s">
        <v>1145</v>
      </c>
      <c r="C21" s="651">
        <f ca="1">ROUND((C6+C9)*F21,0)</f>
        <v>5884</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9393+0.0006V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9393</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45014+0.003V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45014</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79603</v>
      </c>
      <c r="D31" s="688"/>
      <c r="E31" s="688"/>
      <c r="F31" s="3331">
        <f>IF('数据-取费表'!B24=0,'数据-取费表'!N16,1)</f>
        <v>0.77</v>
      </c>
      <c r="G31" s="690" t="s">
        <v>1206</v>
      </c>
      <c r="J31" s="405"/>
    </row>
    <row r="32" s="407" customFormat="1" ht="15.6" spans="1:10">
      <c r="A32" s="687" t="s">
        <v>1168</v>
      </c>
      <c r="B32" s="617" t="s">
        <v>1169</v>
      </c>
      <c r="C32" s="618">
        <f ca="1">C5-C31</f>
        <v>283464</v>
      </c>
      <c r="D32" s="688"/>
      <c r="E32" s="688"/>
      <c r="F32" s="689"/>
      <c r="G32" s="3332" t="s">
        <v>1170</v>
      </c>
      <c r="J32" s="405"/>
    </row>
    <row r="33" s="407" customFormat="1" ht="16.35" spans="1:10">
      <c r="A33" s="3333">
        <v>4</v>
      </c>
      <c r="B33" s="3334" t="s">
        <v>1171</v>
      </c>
      <c r="C33" s="3335">
        <f ca="1">ROUND(C32*(1+F33),0)</f>
        <v>308976</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280460</v>
      </c>
      <c r="D40" s="3350"/>
      <c r="E40" s="3350"/>
      <c r="F40" s="3350"/>
      <c r="G40" s="3351"/>
    </row>
    <row r="41" ht="15.6" spans="1:10">
      <c r="A41" s="3352" t="s">
        <v>1113</v>
      </c>
      <c r="B41" s="3353" t="str">
        <f t="shared" ref="B41:C43" si="0">B10</f>
        <v>  建安费用</v>
      </c>
      <c r="C41" s="776">
        <f ca="1" t="shared" si="0"/>
        <v>247464</v>
      </c>
      <c r="D41" s="3354"/>
      <c r="E41" s="3354"/>
      <c r="F41" s="785"/>
      <c r="G41" s="3355"/>
    </row>
    <row r="42" ht="15.6" spans="1:10">
      <c r="A42" s="3352" t="s">
        <v>1115</v>
      </c>
      <c r="B42" s="3353" t="str">
        <f t="shared" si="0"/>
        <v>  前期费用</v>
      </c>
      <c r="C42" s="776">
        <f ca="1" t="shared" si="0"/>
        <v>7424</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20622</v>
      </c>
      <c r="D44" s="3354"/>
      <c r="E44" s="3354"/>
      <c r="F44" s="785"/>
      <c r="G44" s="3355"/>
    </row>
    <row r="45" ht="15.6" spans="1:10">
      <c r="A45" s="3357" t="s">
        <v>1178</v>
      </c>
      <c r="B45" s="3358" t="str">
        <f>B19</f>
        <v>  其他工程费</v>
      </c>
      <c r="C45" s="791">
        <f ca="1">C19</f>
        <v>2475</v>
      </c>
      <c r="D45" s="3359"/>
      <c r="E45" s="3359"/>
      <c r="F45" s="794"/>
      <c r="G45" s="3360"/>
    </row>
    <row r="46" ht="15.6" spans="1:10">
      <c r="A46" s="3357" t="s">
        <v>1179</v>
      </c>
      <c r="B46" s="3358" t="s">
        <v>759</v>
      </c>
      <c r="C46" s="791">
        <f ca="1">C20</f>
        <v>2475</v>
      </c>
      <c r="D46" s="3359"/>
      <c r="E46" s="3359"/>
      <c r="F46" s="794"/>
      <c r="G46" s="3360"/>
    </row>
    <row r="47" ht="14.4" spans="1:10">
      <c r="A47" s="3361" t="s">
        <v>1180</v>
      </c>
      <c r="B47" s="3361" t="s">
        <v>1145</v>
      </c>
      <c r="C47" s="3362">
        <f ca="1">ROUND(C40*F47,0)</f>
        <v>5609</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8954+0.0006V建1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8954</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42910+0.003V建1</v>
      </c>
      <c r="D52" s="3373"/>
      <c r="E52" s="3363"/>
      <c r="F52" s="3374">
        <f ca="1">F27</f>
        <v>0.15</v>
      </c>
      <c r="G52" s="3375" t="s">
        <v>1185</v>
      </c>
    </row>
    <row r="53" spans="1:7">
      <c r="A53" s="3352" t="s">
        <v>1113</v>
      </c>
      <c r="B53" s="3371" t="s">
        <v>1186</v>
      </c>
      <c r="C53" s="776">
        <f ca="1">ROUND((C40+C47)*F27,0)</f>
        <v>42910</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346101</v>
      </c>
      <c r="D56" s="682"/>
      <c r="E56" s="682"/>
      <c r="F56" s="3384"/>
      <c r="G56" s="3383" t="s">
        <v>1191</v>
      </c>
    </row>
    <row r="57" ht="14.4" spans="1:7">
      <c r="A57" s="3381" t="s">
        <v>1192</v>
      </c>
      <c r="B57" s="3385" t="s">
        <v>1166</v>
      </c>
      <c r="C57" s="651">
        <f ca="1">ROUND(C56*(1-F57),0)</f>
        <v>79603</v>
      </c>
      <c r="D57" s="682"/>
      <c r="E57" s="682"/>
      <c r="F57" s="3384">
        <f>F31</f>
        <v>0.77</v>
      </c>
      <c r="G57" s="3383" t="s">
        <v>1193</v>
      </c>
    </row>
    <row r="58" ht="18" spans="1:7">
      <c r="A58" s="3381" t="s">
        <v>1194</v>
      </c>
      <c r="B58" s="3381" t="s">
        <v>1195</v>
      </c>
      <c r="C58" s="651">
        <f ca="1">C56-C57</f>
        <v>266498</v>
      </c>
      <c r="D58" s="682"/>
      <c r="E58" s="682"/>
      <c r="F58" s="3384"/>
      <c r="G58" s="3383" t="s">
        <v>1196</v>
      </c>
    </row>
    <row r="59" ht="15.15" spans="1:7">
      <c r="A59" s="3386" t="s">
        <v>1197</v>
      </c>
      <c r="B59" s="3387" t="s">
        <v>1198</v>
      </c>
      <c r="C59" s="3388">
        <f ca="1">ROUND(C58*(1+F59),0)</f>
        <v>290483</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0.0600000000000001</v>
      </c>
    </row>
    <row r="64" ht="21" customHeight="1" spans="1:7">
      <c r="B64" s="1280" t="s">
        <v>1202</v>
      </c>
      <c r="C64" s="3396">
        <f ca="1">ROUND(C58/C32,3)</f>
        <v>0.94</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2645.6486</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384878</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20644358</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13748</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13748</v>
      </c>
      <c r="D10" s="443">
        <f ca="1">IF(B1="",'数据-汇总表'!E6,IF(INDIRECT("'数据-取费表'!c"&amp;$G$1)="住宅",INDIRECT("'数据-取费表'!s"&amp;$G$1),INDIRECT("'数据-取费表'!k"&amp;$G$1)+INDIRECT("'数据-取费表'!s"&amp;$G$1)))</f>
        <v>68.74</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13748</v>
      </c>
      <c r="D19" s="428">
        <f ca="1">D9+D10</f>
        <v>68.74</v>
      </c>
      <c r="E19" s="427">
        <f>'数据-取费表'!B31</f>
        <v>200</v>
      </c>
      <c r="F19" s="449"/>
      <c r="G19" s="661"/>
    </row>
    <row r="20" s="407" customFormat="1" ht="13.5" customHeight="1" spans="1:7">
      <c r="A20" s="425" t="s">
        <v>1231</v>
      </c>
      <c r="B20" s="426" t="s">
        <v>1232</v>
      </c>
      <c r="C20" s="450">
        <f ca="1">ROUND((C5+C19)*F20,0)</f>
        <v>413162</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1326368</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1312562</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874</v>
      </c>
      <c r="D24" s="460"/>
      <c r="E24" s="460"/>
      <c r="F24" s="461"/>
      <c r="G24" s="462" t="s">
        <v>1242</v>
      </c>
    </row>
    <row r="25" s="407" customFormat="1" ht="24" spans="1:7">
      <c r="A25" s="458" t="s">
        <v>1123</v>
      </c>
      <c r="B25" s="431" t="s">
        <v>1243</v>
      </c>
      <c r="C25" s="460">
        <f ca="1">ROUND(IF('数据-取费表'!B22&lt;=1,C20*F22*'数据-取费表'!B22/2,C20*(POWER((1+F22),'数据-取费表'!B22/2)-1)),0)</f>
        <v>12932</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3160690</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3160690</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26192177</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277985</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247464</v>
      </c>
      <c r="D34" s="433"/>
      <c r="E34" s="436"/>
      <c r="F34" s="479"/>
      <c r="G34" s="435"/>
    </row>
    <row r="35" ht="13.5" customHeight="1" spans="1:7">
      <c r="A35" s="458" t="s">
        <v>1115</v>
      </c>
      <c r="B35" s="431" t="s">
        <v>1256</v>
      </c>
      <c r="C35" s="436">
        <f ca="1">ROUND(C34*F35,0)</f>
        <v>7424</v>
      </c>
      <c r="D35" s="436"/>
      <c r="E35" s="436"/>
      <c r="F35" s="480">
        <f>'数据-取费表'!B33</f>
        <v>0.03</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20622</v>
      </c>
      <c r="D37" s="433">
        <f ca="1">D19</f>
        <v>68.74</v>
      </c>
      <c r="E37" s="471">
        <f>'数据-取费表'!B35</f>
        <v>300</v>
      </c>
      <c r="F37" s="480"/>
      <c r="G37" s="482"/>
    </row>
    <row r="38" ht="13.5" customHeight="1" spans="1:7">
      <c r="A38" s="458" t="s">
        <v>1139</v>
      </c>
      <c r="B38" s="431" t="s">
        <v>1033</v>
      </c>
      <c r="C38" s="436">
        <f ca="1">ROUND(C34*F38,0)</f>
        <v>2475</v>
      </c>
      <c r="D38" s="436"/>
      <c r="E38" s="436"/>
      <c r="F38" s="480">
        <f>'数据-取费表'!B36</f>
        <v>0.01</v>
      </c>
      <c r="G38" s="435" t="s">
        <v>1141</v>
      </c>
    </row>
    <row r="39" s="407" customFormat="1" ht="13.5" customHeight="1" spans="1:7">
      <c r="A39" s="425" t="s">
        <v>1229</v>
      </c>
      <c r="B39" s="426" t="s">
        <v>1232</v>
      </c>
      <c r="C39" s="450">
        <f ca="1">ROUND(C33*F20,0)</f>
        <v>5560</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8875</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8701</v>
      </c>
      <c r="D42" s="460"/>
      <c r="E42" s="460"/>
      <c r="F42" s="461"/>
      <c r="G42" s="484" t="s">
        <v>1262</v>
      </c>
    </row>
    <row r="43" ht="13.5" customHeight="1" spans="1:7">
      <c r="A43" s="458" t="s">
        <v>1115</v>
      </c>
      <c r="B43" s="431" t="s">
        <v>1241</v>
      </c>
      <c r="C43" s="460">
        <f ca="1">ROUND(IF('数据-取费表'!B22&lt;=1,C39*F22*'数据-取费表'!B20/2,C39*(POWER((1+F22),'数据-取费表'!B20/2)-1)),0)</f>
        <v>174</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42532</v>
      </c>
      <c r="D45" s="453">
        <f ca="1">C47</f>
        <v>0.003</v>
      </c>
      <c r="E45" s="454" t="s">
        <v>1260</v>
      </c>
      <c r="F45" s="468">
        <f ca="1">F27</f>
        <v>0.15</v>
      </c>
      <c r="G45" s="469" t="s">
        <v>1263</v>
      </c>
    </row>
    <row r="46" s="407" customFormat="1" ht="13.5" customHeight="1" spans="1:7">
      <c r="A46" s="458" t="s">
        <v>1113</v>
      </c>
      <c r="B46" s="470" t="s">
        <v>1186</v>
      </c>
      <c r="C46" s="471">
        <f ca="1">ROUND((C33+C39)*F27,0)</f>
        <v>42532</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343259</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264309</v>
      </c>
      <c r="D51" s="450"/>
      <c r="E51" s="450"/>
      <c r="F51" s="488"/>
      <c r="G51" s="455" t="s">
        <v>1271</v>
      </c>
    </row>
    <row r="52" s="406" customFormat="1" ht="16.35" spans="1:7">
      <c r="A52" s="489" t="s">
        <v>1272</v>
      </c>
      <c r="B52" s="490"/>
      <c r="C52" s="491">
        <f ca="1">C31+C51</f>
        <v>26456486</v>
      </c>
      <c r="D52" s="490"/>
      <c r="E52" s="490"/>
      <c r="F52" s="490"/>
      <c r="G52" s="492"/>
    </row>
    <row r="55" ht="15" spans="1:7">
      <c r="B55" s="493" t="s">
        <v>1200</v>
      </c>
      <c r="C55" s="494"/>
    </row>
    <row r="56" spans="1:7">
      <c r="B56" s="495" t="s">
        <v>1201</v>
      </c>
      <c r="C56" s="497">
        <f ca="1">1-C57</f>
        <v>0.99</v>
      </c>
    </row>
    <row r="57" spans="1:7">
      <c r="B57" s="495" t="s">
        <v>1202</v>
      </c>
      <c r="C57" s="496">
        <f ca="1">ROUND(C51/C52,3)</f>
        <v>0.01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0.03</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K16" sqref="K16"/>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156.2941</v>
      </c>
      <c r="C2" s="1859" t="s">
        <v>1498</v>
      </c>
      <c r="D2" s="1860">
        <f ca="1">IF(E1="项目模式",IF(E2="——",ROUND(C50*D3/10000,0),ROUND(C50*D3/10000,0)-F2),IF(E1="单套模式",IF(E2="——",ROUND(C50*D3/10000,4),ROUND(C50*D3/10000,4)-F2)))</f>
        <v>156.2941</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22737</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98</v>
      </c>
      <c r="G27" s="2972" t="s">
        <v>1541</v>
      </c>
      <c r="H27" s="1915">
        <f>SUMIF(89:89,G27,90:90)-SUMIF(89:89,C27,90:90)+100</f>
        <v>99</v>
      </c>
      <c r="I27" s="1944" t="s">
        <v>1539</v>
      </c>
      <c r="J27" s="1915">
        <f>SUMIF(89:89,I27,90:90)-SUMIF(89:89,C27,90:90)+100</f>
        <v>100</v>
      </c>
      <c r="K27" s="1520">
        <v>1</v>
      </c>
      <c r="L27" s="1475"/>
      <c r="M27" s="1391"/>
      <c r="N27" s="1391"/>
      <c r="O27" s="1391"/>
      <c r="P27" s="1516"/>
      <c r="Q27" s="1051" t="str">
        <f t="shared" ref="Q27:Q47" si="11">B27</f>
        <v>楼层</v>
      </c>
      <c r="R27" s="2125" t="s">
        <v>1515</v>
      </c>
      <c r="S27" s="2126">
        <f>F27</f>
        <v>98</v>
      </c>
      <c r="T27" s="2125" t="s">
        <v>1515</v>
      </c>
      <c r="U27" s="2126">
        <f>H27</f>
        <v>99</v>
      </c>
      <c r="V27" s="2125" t="s">
        <v>1515</v>
      </c>
      <c r="W27" s="2126">
        <f>J27</f>
        <v>100</v>
      </c>
      <c r="X27" s="1396"/>
      <c r="Y27" s="1499"/>
      <c r="Z27" s="1491" t="str">
        <f>Q27</f>
        <v>楼层</v>
      </c>
      <c r="AA27" s="1491">
        <f t="shared" si="3"/>
        <v>1.02040816326531</v>
      </c>
      <c r="AB27" s="1491">
        <f t="shared" si="4"/>
        <v>1.01010101010101</v>
      </c>
      <c r="AC27" s="2967">
        <f t="shared" si="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68.74</v>
      </c>
      <c r="D34" s="1905">
        <v>100</v>
      </c>
      <c r="E34" s="2059">
        <v>239</v>
      </c>
      <c r="F34" s="1903">
        <f>LOOKUP(E34,104:104,105:105)-LOOKUP(C34,104:104,105:105)+100</f>
        <v>101</v>
      </c>
      <c r="G34" s="2058">
        <v>94</v>
      </c>
      <c r="H34" s="1906">
        <f>LOOKUP(G34,104:104,105:105)-LOOKUP(C34,104:104,105:105)+100</f>
        <v>100</v>
      </c>
      <c r="I34" s="2058">
        <v>189.62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1557</v>
      </c>
      <c r="J43" s="1915">
        <f>SUMIF(123:123,I43,124:124)-SUMIF(123:123,C43,124:124)+100</f>
        <v>96</v>
      </c>
      <c r="K43" s="1520">
        <v>2</v>
      </c>
      <c r="L43" s="1475"/>
      <c r="M43" s="1391"/>
      <c r="N43" s="1391"/>
      <c r="O43" s="1391"/>
      <c r="P43" s="2140"/>
      <c r="Q43" s="1051" t="str">
        <f t="shared" si="11"/>
        <v>内部装修</v>
      </c>
      <c r="R43" s="2125" t="s">
        <v>1515</v>
      </c>
      <c r="S43" s="2126">
        <f t="shared" si="12"/>
        <v>100</v>
      </c>
      <c r="T43" s="2125" t="s">
        <v>1515</v>
      </c>
      <c r="U43" s="2126">
        <f t="shared" si="13"/>
        <v>100</v>
      </c>
      <c r="V43" s="2125" t="s">
        <v>1515</v>
      </c>
      <c r="W43" s="2126">
        <f t="shared" si="14"/>
        <v>96</v>
      </c>
      <c r="X43" s="1396"/>
      <c r="Y43" s="1526"/>
      <c r="Z43" s="1491" t="str">
        <f t="shared" si="15"/>
        <v>内部装修</v>
      </c>
      <c r="AA43" s="1491">
        <f t="shared" si="3"/>
        <v>1</v>
      </c>
      <c r="AB43" s="1491">
        <f t="shared" si="4"/>
        <v>1</v>
      </c>
      <c r="AC43" s="2967">
        <f t="shared" si="5"/>
        <v>1.04166666666667</v>
      </c>
    </row>
    <row r="44" ht="28.8" spans="1:29">
      <c r="A44" s="1754"/>
      <c r="B44" s="1903" t="s">
        <v>1558</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1559</v>
      </c>
      <c r="B48" s="1967"/>
      <c r="C48" s="1968" t="s">
        <v>124</v>
      </c>
      <c r="D48" s="1798"/>
      <c r="E48" s="1556">
        <v>24999</v>
      </c>
      <c r="F48" s="1557"/>
      <c r="G48" s="1558">
        <v>23173</v>
      </c>
      <c r="H48" s="1559"/>
      <c r="I48" s="1556">
        <v>20041</v>
      </c>
      <c r="J48" s="1559"/>
      <c r="K48" s="1560"/>
      <c r="L48" s="1561"/>
      <c r="M48" s="1391"/>
      <c r="N48" s="1391"/>
      <c r="O48" s="1391"/>
      <c r="P48" s="2118" t="str">
        <f>A48</f>
        <v>成交单价（元/平方米）</v>
      </c>
      <c r="Q48" s="1051"/>
      <c r="R48" s="1563">
        <f>E48</f>
        <v>24999</v>
      </c>
      <c r="S48" s="1563"/>
      <c r="T48" s="1563">
        <f>G48</f>
        <v>23173</v>
      </c>
      <c r="U48" s="1563"/>
      <c r="V48" s="1563">
        <f>I48</f>
        <v>20041</v>
      </c>
      <c r="W48" s="1563"/>
      <c r="X48" s="1926"/>
      <c r="Y48" s="1565"/>
      <c r="Z48" s="1926"/>
      <c r="AA48" s="1926"/>
      <c r="AB48" s="1926"/>
      <c r="AC48" s="2968"/>
    </row>
    <row r="49" ht="15.15" spans="1:29">
      <c r="A49" s="1566" t="s">
        <v>1560</v>
      </c>
      <c r="B49" s="1969"/>
      <c r="C49" s="1571">
        <f>R50</f>
        <v>22737</v>
      </c>
      <c r="D49" s="1799" t="s">
        <v>1561</v>
      </c>
      <c r="E49" s="1568">
        <f>R49</f>
        <v>24293</v>
      </c>
      <c r="F49" s="1570"/>
      <c r="G49" s="1571">
        <f>T49</f>
        <v>23653</v>
      </c>
      <c r="H49" s="1570"/>
      <c r="I49" s="1568">
        <f>V49</f>
        <v>20264</v>
      </c>
      <c r="J49" s="1570"/>
      <c r="K49" s="1572">
        <f>F49+H49+J49</f>
        <v>0</v>
      </c>
      <c r="L49" s="1561"/>
      <c r="M49" s="1391"/>
      <c r="N49" s="1391"/>
      <c r="O49" s="1391"/>
      <c r="P49" s="2118" t="str">
        <f>A49</f>
        <v>比较价值（元/平方米）</v>
      </c>
      <c r="Q49" s="1051"/>
      <c r="R49" s="1563">
        <f>IF(F1="售价",ROUND(PRODUCT(R48,AA7:AA47),0),ROUND(PRODUCT(R48,AA7:AA47),1))</f>
        <v>24293</v>
      </c>
      <c r="S49" s="1563"/>
      <c r="T49" s="1563">
        <f>IF(F1="售价",ROUND(PRODUCT(T48,AB7:AB47),0),ROUND(PRODUCT(T48,AB7:AB47),1))</f>
        <v>23653</v>
      </c>
      <c r="U49" s="1563"/>
      <c r="V49" s="1563">
        <f>IF(F1="售价",ROUND(PRODUCT(V48,AC7:AC47),0),ROUND(PRODUCT(V48,AC7:AC47),1))</f>
        <v>20264</v>
      </c>
      <c r="W49" s="1563"/>
      <c r="X49" s="1926"/>
      <c r="Y49" s="1926"/>
      <c r="Z49" s="1926"/>
      <c r="AA49" s="1926"/>
      <c r="AB49" s="1926"/>
      <c r="AC49" s="2968"/>
    </row>
    <row r="50" ht="15.15" spans="1:29">
      <c r="A50" s="1573" t="s">
        <v>1562</v>
      </c>
      <c r="B50" s="1574"/>
      <c r="C50" s="1575">
        <f>R50</f>
        <v>22737</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22737</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IF(E48&lt;E49,E49/E48-1,E48/E49-1)</f>
        <v>0.0290618696743918</v>
      </c>
      <c r="F53" s="1585" t="str">
        <f>IF(OR(E53&gt;=0.3,E53&lt;=-0.3),"超过30%","")</f>
        <v/>
      </c>
      <c r="G53" s="1584">
        <f>IF(G48&lt;G49,G49/G48-1,G48/G49-1)</f>
        <v>0.0207137617054332</v>
      </c>
      <c r="H53" s="1585" t="str">
        <f>IF(OR(G53&gt;=0.3,G53&lt;=-0.3),"超过30%","")</f>
        <v/>
      </c>
      <c r="I53" s="1584">
        <f>IF(I48&lt;I49,I49/I48-1,I48/I49-1)</f>
        <v>0.0111271892620128</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0.0270578784932143</v>
      </c>
      <c r="F54" s="1585" t="str">
        <f>IF(OR(E54&gt;=0.2,E54&lt;=-0.2),"超过20%","")</f>
        <v/>
      </c>
      <c r="G54" s="1584">
        <f>IF(G49&lt;I49,I49/G49-1,G49/I49-1)</f>
        <v>0.167242400315831</v>
      </c>
      <c r="H54" s="1585" t="str">
        <f>IF(OR(G54&gt;=0.2,G54&lt;=-0.2),"超过20%","")</f>
        <v/>
      </c>
      <c r="I54" s="1584">
        <f>IF(I49&lt;E49,E49/I49-1,I49/E49-1)</f>
        <v>0.198825503355705</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1570</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99</v>
      </c>
      <c r="E90" s="1687">
        <f t="shared" ref="E90:M90" si="20">D90-$K27</f>
        <v>98</v>
      </c>
      <c r="F90" s="1687">
        <f t="shared" si="20"/>
        <v>97</v>
      </c>
      <c r="G90" s="1687">
        <f t="shared" si="20"/>
        <v>96</v>
      </c>
      <c r="H90" s="1687">
        <f t="shared" si="20"/>
        <v>95</v>
      </c>
      <c r="I90" s="1687">
        <f t="shared" si="20"/>
        <v>94</v>
      </c>
      <c r="J90" s="1687">
        <f t="shared" si="20"/>
        <v>93</v>
      </c>
      <c r="K90" s="1687">
        <f t="shared" si="20"/>
        <v>92</v>
      </c>
      <c r="L90" s="1687">
        <f t="shared" si="20"/>
        <v>91</v>
      </c>
      <c r="M90" s="1687">
        <f t="shared" si="20"/>
        <v>90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1586</v>
      </c>
      <c r="E123" s="2982" t="s">
        <v>1557</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67" sqref="T67"/>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87.3152</v>
      </c>
      <c r="C2" s="2690" t="s">
        <v>1276</v>
      </c>
      <c r="D2" s="2992" t="s">
        <v>1498</v>
      </c>
      <c r="E2" s="2692"/>
      <c r="F2" s="2693"/>
      <c r="G2" s="2694"/>
      <c r="H2" s="2695"/>
      <c r="I2" s="2695"/>
      <c r="J2" s="2695"/>
      <c r="K2" s="2696"/>
      <c r="L2" s="2695"/>
      <c r="M2" s="2695"/>
    </row>
    <row r="3" ht="18" customHeight="1" spans="1:37">
      <c r="A3" s="2697" t="s">
        <v>1277</v>
      </c>
      <c r="B3" s="2698">
        <f ca="1">IF(ISERROR(D3/F32),0,ROUND(D3/F32,0))</f>
        <v>12702</v>
      </c>
      <c r="C3" s="2690" t="s">
        <v>1278</v>
      </c>
      <c r="D3" s="2690">
        <f ca="1">IF(D2="含税",ROUND((C28+J31+L55)*(1+F31),0),C28+J31+L55)</f>
        <v>873152</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49112</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49051</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57707</v>
      </c>
      <c r="D7" s="3016" t="s">
        <v>1291</v>
      </c>
      <c r="E7" s="2723" t="s">
        <v>1292</v>
      </c>
      <c r="F7" s="3017">
        <f ca="1">IF(INDIRECT("'数据-取费表'!ah"&amp;$G$1)="",INDIRECT("'数据-取费表'!k"&amp;$G$1),INDIRECT("'数据-取费表'!ah"&amp;$G$1))</f>
        <v>68.74</v>
      </c>
      <c r="G7" s="883"/>
      <c r="H7" s="3013" t="s">
        <v>1025</v>
      </c>
      <c r="I7" s="3014" t="s">
        <v>1290</v>
      </c>
      <c r="J7" s="3002">
        <f ca="1">ROUND(M6*M8*M7,0)</f>
        <v>0</v>
      </c>
      <c r="K7" s="3016" t="s">
        <v>1291</v>
      </c>
      <c r="L7" s="1301" t="s">
        <v>1292</v>
      </c>
      <c r="M7" s="3018">
        <f ca="1">F7</f>
        <v>68.74</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8656</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61</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8636</v>
      </c>
      <c r="D13" s="3035" t="s">
        <v>1303</v>
      </c>
      <c r="E13" s="3036"/>
      <c r="F13" s="3005"/>
      <c r="G13" s="2988"/>
      <c r="H13" s="2748" t="s">
        <v>1301</v>
      </c>
      <c r="I13" s="2749" t="s">
        <v>1302</v>
      </c>
      <c r="J13" s="3034">
        <f ca="1">ROUND(J14+J22+J24+J26,0)</f>
        <v>4619</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6393</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2888</v>
      </c>
      <c r="K14" s="3041" t="s">
        <v>1307</v>
      </c>
      <c r="L14" s="2758" t="str">
        <f>E14</f>
        <v/>
      </c>
      <c r="M14" s="3040" t="str">
        <f ca="1">IF(M56="非住宅","",IF(M6*M7*M8/12/(1+'数据-取费表'!F30)&gt;100000,4%,2.5%))</f>
        <v/>
      </c>
    </row>
    <row r="15" s="2677" customFormat="1" ht="18" customHeight="1" spans="1:37">
      <c r="A15" s="1315" t="s">
        <v>1025</v>
      </c>
      <c r="B15" s="3010" t="s">
        <v>1308</v>
      </c>
      <c r="C15" s="1287">
        <f ca="1">C18</f>
        <v>507</v>
      </c>
      <c r="D15" s="1104" t="s">
        <v>1309</v>
      </c>
      <c r="E15" s="3042"/>
      <c r="F15" s="3043"/>
      <c r="G15" s="2764"/>
      <c r="H15" s="1315" t="s">
        <v>1025</v>
      </c>
      <c r="I15" s="3010" t="s">
        <v>1308</v>
      </c>
      <c r="J15" s="1287">
        <f ca="1">J18</f>
        <v>-19</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4415</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187</v>
      </c>
      <c r="D17" s="3048" t="s">
        <v>1313</v>
      </c>
      <c r="E17" s="3051"/>
      <c r="F17" s="3047">
        <v>0.06</v>
      </c>
      <c r="G17" s="2764"/>
      <c r="H17" s="662" t="s">
        <v>1135</v>
      </c>
      <c r="I17" s="3045" t="s">
        <v>964</v>
      </c>
      <c r="J17" s="3050">
        <f ca="1">ROUND(J22*M16+((J24+J26)*M17),0)</f>
        <v>156</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507</v>
      </c>
      <c r="D18" s="3041" t="s">
        <v>1315</v>
      </c>
      <c r="E18" s="1301" t="s">
        <v>1316</v>
      </c>
      <c r="F18" s="3047">
        <f>'数据-取费表'!B44</f>
        <v>0.12</v>
      </c>
      <c r="G18" s="2764"/>
      <c r="H18" s="662" t="s">
        <v>1137</v>
      </c>
      <c r="I18" s="3045" t="s">
        <v>1317</v>
      </c>
      <c r="J18" s="3050">
        <f ca="1">ROUND((J16-J17)*M18,0)</f>
        <v>-19</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5886</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2907</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1731</v>
      </c>
      <c r="D22" s="3061" t="s">
        <v>1325</v>
      </c>
      <c r="E22" s="1301" t="s">
        <v>1319</v>
      </c>
      <c r="F22" s="3023">
        <f ca="1">INDIRECT("'数据-取费表'!Ak"&amp;$G$1)</f>
        <v>0.005</v>
      </c>
      <c r="G22" s="2764"/>
      <c r="H22" s="3059" t="s">
        <v>1001</v>
      </c>
      <c r="I22" s="2715" t="s">
        <v>1324</v>
      </c>
      <c r="J22" s="3060">
        <f ca="1">ROUND(J35*M22,0)</f>
        <v>1731</v>
      </c>
      <c r="K22" s="3061" t="s">
        <v>1325</v>
      </c>
      <c r="L22" s="1301" t="s">
        <v>1319</v>
      </c>
      <c r="M22" s="3062">
        <f ca="1">INDIRECT("'数据-取费表'!Ak"&amp;$G$1)</f>
        <v>0.005</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346101</v>
      </c>
      <c r="G23" s="2764"/>
      <c r="H23" s="2780"/>
      <c r="I23" s="2781"/>
      <c r="J23" s="3063"/>
      <c r="K23" s="3064"/>
      <c r="L23" s="3010" t="s">
        <v>1326</v>
      </c>
      <c r="M23" s="3022">
        <f ca="1">J35</f>
        <v>346101</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266</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266498</v>
      </c>
      <c r="G25" s="883"/>
      <c r="H25" s="2780"/>
      <c r="I25" s="2781"/>
      <c r="J25" s="3063"/>
      <c r="K25" s="3064"/>
      <c r="L25" s="3054" t="s">
        <v>1330</v>
      </c>
      <c r="M25" s="3022">
        <f ca="1">J37</f>
        <v>0</v>
      </c>
    </row>
    <row r="26" s="2677" customFormat="1" ht="18" customHeight="1" spans="1:37">
      <c r="A26" s="2765" t="s">
        <v>1057</v>
      </c>
      <c r="B26" s="2744" t="s">
        <v>1331</v>
      </c>
      <c r="C26" s="3065">
        <f ca="1">ROUND(C5*F26,0)</f>
        <v>246</v>
      </c>
      <c r="D26" s="2788" t="s">
        <v>1332</v>
      </c>
      <c r="E26" s="2744" t="s">
        <v>1319</v>
      </c>
      <c r="F26" s="3066">
        <f ca="1">INDIRECT("'数据-取费表'!Am"&amp;$G$1)</f>
        <v>0.005</v>
      </c>
      <c r="G26" s="2764"/>
      <c r="H26" s="2765" t="s">
        <v>1057</v>
      </c>
      <c r="I26" s="2744" t="s">
        <v>1331</v>
      </c>
      <c r="J26" s="3065">
        <f ca="1">ROUND(J5*M26,0)</f>
        <v>0</v>
      </c>
      <c r="K26" s="2788" t="s">
        <v>1332</v>
      </c>
      <c r="L26" s="2744" t="s">
        <v>1319</v>
      </c>
      <c r="M26" s="3033">
        <f ca="1">INDIRECT("'数据-取费表'!Am"&amp;$G$1)</f>
        <v>0.005</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40476</v>
      </c>
      <c r="D27" s="3037" t="s">
        <v>1334</v>
      </c>
      <c r="E27" s="3067"/>
      <c r="F27" s="3068"/>
      <c r="G27" s="3069"/>
      <c r="H27" s="2748" t="s">
        <v>1168</v>
      </c>
      <c r="I27" s="2789" t="s">
        <v>1333</v>
      </c>
      <c r="J27" s="3034">
        <f ca="1">J5-J13</f>
        <v>-4619</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789216</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860245</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68.74</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12514</v>
      </c>
      <c r="D32" s="3091" t="s">
        <v>1350</v>
      </c>
      <c r="E32" s="2798" t="s">
        <v>1351</v>
      </c>
      <c r="F32" s="3092">
        <f ca="1">INDIRECT("'数据-取费表'!k"&amp;$G$1)</f>
        <v>68.74</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0.175842971167943</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280460</v>
      </c>
      <c r="D35" s="3105" t="s">
        <v>1355</v>
      </c>
      <c r="E35" s="3106"/>
      <c r="F35" s="3107"/>
      <c r="G35" s="883"/>
      <c r="H35" s="3108" t="s">
        <v>1353</v>
      </c>
      <c r="I35" s="3109" t="s">
        <v>1356</v>
      </c>
      <c r="J35" s="3110">
        <f ca="1">C51</f>
        <v>346101</v>
      </c>
      <c r="K35" s="3111" t="s">
        <v>1357</v>
      </c>
      <c r="L35" s="3112"/>
      <c r="M35" s="3113"/>
    </row>
    <row r="36" ht="18" customHeight="1" spans="1:37">
      <c r="A36" s="1315" t="s">
        <v>1025</v>
      </c>
      <c r="B36" s="2365" t="s">
        <v>1358</v>
      </c>
      <c r="C36" s="1103">
        <f ca="1">ROUND(INDIRECT("'数据-取费表'!l"&amp;$G$1)*F32+'数据-取费表'!L14*INDIRECT("'数据-取费表'!S"&amp;$G$1),0)</f>
        <v>247464</v>
      </c>
      <c r="D36" s="2368" t="s">
        <v>1359</v>
      </c>
      <c r="E36" s="2368"/>
      <c r="F36" s="2795"/>
      <c r="G36" s="883"/>
      <c r="H36" s="3114" t="s">
        <v>1001</v>
      </c>
      <c r="I36" s="3115" t="s">
        <v>1166</v>
      </c>
      <c r="J36" s="803">
        <f ca="1">ROUND(J35*(1-M36),0)</f>
        <v>346101</v>
      </c>
      <c r="K36" s="1301" t="s">
        <v>1360</v>
      </c>
      <c r="L36" s="1279" t="s">
        <v>1361</v>
      </c>
      <c r="M36" s="3023">
        <f ca="1">INDIRECT("'数据-取费表'!ad"&amp;$G$1)</f>
        <v>0</v>
      </c>
    </row>
    <row r="37" ht="18" customHeight="1" spans="1:37">
      <c r="A37" s="1315" t="s">
        <v>1029</v>
      </c>
      <c r="B37" s="2365" t="s">
        <v>1597</v>
      </c>
      <c r="C37" s="1287">
        <f ca="1">ROUND(C36*F37,0)</f>
        <v>7424</v>
      </c>
      <c r="D37" s="1301" t="s">
        <v>1362</v>
      </c>
      <c r="E37" s="1301" t="s">
        <v>1319</v>
      </c>
      <c r="F37" s="3047">
        <f>'数据-取费表'!B33</f>
        <v>0.03</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20622</v>
      </c>
      <c r="D39" s="1301" t="s">
        <v>1369</v>
      </c>
      <c r="E39" s="1301" t="s">
        <v>1370</v>
      </c>
      <c r="F39" s="3121">
        <f>'数据-取费表'!B35</f>
        <v>300</v>
      </c>
      <c r="G39" s="883"/>
    </row>
    <row r="40" ht="18" customHeight="1" spans="1:37">
      <c r="A40" s="1315" t="s">
        <v>1371</v>
      </c>
      <c r="B40" s="3045" t="s">
        <v>757</v>
      </c>
      <c r="C40" s="1287">
        <f ca="1">ROUND(C36*F40,0)</f>
        <v>2475</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2475</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5609</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8954+0.0006V建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8954</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42910+0.003V建</v>
      </c>
      <c r="D47" s="1295" t="s">
        <v>1384</v>
      </c>
      <c r="E47" s="2361"/>
      <c r="F47" s="3127"/>
      <c r="G47" s="883"/>
      <c r="H47" s="713"/>
      <c r="I47" s="713"/>
      <c r="J47" s="713"/>
      <c r="K47" s="1337"/>
      <c r="L47" s="713"/>
      <c r="M47" s="713"/>
    </row>
    <row r="48" ht="18" customHeight="1" spans="1:37">
      <c r="A48" s="1315" t="s">
        <v>1025</v>
      </c>
      <c r="B48" s="1301" t="s">
        <v>1385</v>
      </c>
      <c r="C48" s="1287">
        <f ca="1">ROUND((C35+C42)*F48,0)</f>
        <v>42910</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346101</v>
      </c>
      <c r="D51" s="3131" t="s">
        <v>1357</v>
      </c>
      <c r="E51" s="3074"/>
      <c r="F51" s="3023"/>
      <c r="K51" s="2998"/>
      <c r="Q51" s="3007"/>
    </row>
    <row r="52" s="2988" customFormat="1" ht="18" customHeight="1" spans="1:37">
      <c r="A52" s="3132" t="s">
        <v>1192</v>
      </c>
      <c r="B52" s="3123" t="s">
        <v>1166</v>
      </c>
      <c r="C52" s="3015">
        <f ca="1">ROUND(C51*(1-F52),0)</f>
        <v>79603</v>
      </c>
      <c r="D52" s="3074" t="s">
        <v>1395</v>
      </c>
      <c r="E52" s="3074" t="s">
        <v>1396</v>
      </c>
      <c r="F52" s="3023">
        <f ca="1">INDIRECT("'数据-取费表'!y"&amp;$G$1)</f>
        <v>0.77</v>
      </c>
      <c r="K52" s="2998"/>
      <c r="Q52" s="3007"/>
    </row>
    <row r="53" s="2988" customFormat="1" ht="18" customHeight="1" spans="1:37">
      <c r="A53" s="3133" t="s">
        <v>1600</v>
      </c>
      <c r="B53" s="3134" t="s">
        <v>1398</v>
      </c>
      <c r="C53" s="3118">
        <f ca="1">C51-C52</f>
        <v>266498</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11841</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789216</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11841</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346101</v>
      </c>
      <c r="R58" s="2847" t="s">
        <v>1420</v>
      </c>
    </row>
    <row r="59" s="883" customFormat="1" ht="15" customHeight="1" spans="1:37">
      <c r="A59" s="3167" t="s">
        <v>1025</v>
      </c>
      <c r="B59" s="3014" t="s">
        <v>1290</v>
      </c>
      <c r="C59" s="3025">
        <f ca="1">ROUND(F58*F60*F59,0)</f>
        <v>0</v>
      </c>
      <c r="D59" s="3016" t="s">
        <v>1291</v>
      </c>
      <c r="E59" s="2870" t="s">
        <v>1292</v>
      </c>
      <c r="F59" s="3168">
        <f ca="1">F7</f>
        <v>68.74</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624082</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873152</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789216</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-21</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138440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172</v>
      </c>
      <c r="D69" s="3048" t="s">
        <v>1313</v>
      </c>
      <c r="E69" s="3051"/>
      <c r="F69" s="3047">
        <f>F17</f>
        <v>0.06</v>
      </c>
      <c r="I69" s="2916" t="s">
        <v>1454</v>
      </c>
      <c r="J69" s="3191">
        <f ca="1">IF(OR(M56="住宅",J60&lt;L57,J65="是"),"0",ROUND(J68/(1+J61)^J62,0))</f>
        <v>11841</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-21</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860245</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1731</v>
      </c>
      <c r="D74" s="3197" t="s">
        <v>1325</v>
      </c>
      <c r="E74" s="1306" t="s">
        <v>1471</v>
      </c>
      <c r="F74" s="3173">
        <f ca="1">C51</f>
        <v>346101</v>
      </c>
      <c r="I74" s="3194" t="s">
        <v>1472</v>
      </c>
      <c r="J74" s="3195">
        <v>40</v>
      </c>
      <c r="K74" s="3195">
        <v>30</v>
      </c>
      <c r="L74" s="3195">
        <v>50</v>
      </c>
      <c r="M74" s="2925">
        <v>0.02</v>
      </c>
      <c r="O74" s="3150" t="s">
        <v>1130</v>
      </c>
      <c r="P74" s="3158" t="s">
        <v>1408</v>
      </c>
      <c r="Q74" s="3198">
        <f ca="1">C28+J31</f>
        <v>789216</v>
      </c>
      <c r="R74" s="3153" t="s">
        <v>1409</v>
      </c>
    </row>
    <row r="75" s="883" customFormat="1" ht="17.55" spans="1:18">
      <c r="A75" s="3199"/>
      <c r="B75" s="2923"/>
      <c r="C75" s="3063"/>
      <c r="D75" s="3200"/>
      <c r="E75" s="1343" t="s">
        <v>1319</v>
      </c>
      <c r="F75" s="3023">
        <f ca="1">F22</f>
        <v>0.005</v>
      </c>
      <c r="O75" s="3150" t="s">
        <v>1133</v>
      </c>
      <c r="P75" s="3158" t="s">
        <v>1447</v>
      </c>
      <c r="Q75" s="3201">
        <f ca="1">L69</f>
        <v>0</v>
      </c>
      <c r="R75" s="3153" t="s">
        <v>1448</v>
      </c>
    </row>
    <row r="76" s="883" customFormat="1" ht="13.95" spans="1:18">
      <c r="A76" s="3196" t="s">
        <v>1052</v>
      </c>
      <c r="B76" s="2919" t="s">
        <v>1327</v>
      </c>
      <c r="C76" s="3060">
        <f ca="1">ROUND(F76*F77,0)</f>
        <v>266</v>
      </c>
      <c r="D76" s="3197" t="s">
        <v>1328</v>
      </c>
      <c r="E76" s="1306" t="s">
        <v>1398</v>
      </c>
      <c r="F76" s="3202">
        <f ca="1">C53</f>
        <v>266498</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624082</v>
      </c>
      <c r="R77" s="2847" t="s">
        <v>1473</v>
      </c>
    </row>
    <row r="78" s="2988" customFormat="1" ht="13.95" spans="1:18">
      <c r="A78" s="1282" t="s">
        <v>1057</v>
      </c>
      <c r="B78" s="1343" t="s">
        <v>1331</v>
      </c>
      <c r="C78" s="1287">
        <f ca="1">ROUND(C57*F78,0)</f>
        <v>0</v>
      </c>
      <c r="D78" s="2915" t="s">
        <v>1332</v>
      </c>
      <c r="E78" s="1343" t="s">
        <v>1319</v>
      </c>
      <c r="F78" s="3023">
        <f ca="1">F26</f>
        <v>0.005</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34904</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40476</v>
      </c>
      <c r="R80" s="2847" t="s">
        <v>1420</v>
      </c>
    </row>
    <row r="81" s="2988" customFormat="1" ht="13.95" spans="1:18">
      <c r="A81" s="3208"/>
      <c r="B81" s="2934"/>
      <c r="C81" s="3002"/>
      <c r="D81" s="3209" t="s">
        <v>1340</v>
      </c>
      <c r="E81" s="2900" t="s">
        <v>1341</v>
      </c>
      <c r="F81" s="3079">
        <f ca="1">F29</f>
        <v>34</v>
      </c>
      <c r="O81" s="2866" t="s">
        <v>1478</v>
      </c>
      <c r="P81" s="2932" t="s">
        <v>1479</v>
      </c>
      <c r="Q81" s="3203">
        <f ca="1">C52</f>
        <v>79603</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68.74</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860245</v>
      </c>
      <c r="R86" s="3153" t="s">
        <v>1607</v>
      </c>
    </row>
    <row r="87" spans="1:18">
      <c r="A87" s="883"/>
      <c r="B87" s="2943" t="s">
        <v>1485</v>
      </c>
      <c r="C87" s="1807">
        <f ca="1">ROUND(C53*C88,0)</f>
        <v>18655</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0.539</v>
      </c>
    </row>
    <row r="92" spans="1:18">
      <c r="B92" s="2943" t="s">
        <v>1490</v>
      </c>
      <c r="C92" s="3218">
        <f ca="1">ROUND(C87/C27,3)</f>
        <v>0.461</v>
      </c>
    </row>
    <row r="93" spans="1:18">
      <c r="B93" s="493" t="s">
        <v>1491</v>
      </c>
      <c r="C93" s="460"/>
    </row>
    <row r="94" spans="1:18">
      <c r="B94" s="495" t="s">
        <v>1201</v>
      </c>
      <c r="C94" s="3219">
        <f ca="1">1-C95</f>
        <v>0.667</v>
      </c>
    </row>
    <row r="95" spans="1:18">
      <c r="B95" s="495" t="s">
        <v>1202</v>
      </c>
      <c r="C95" s="3218">
        <f ca="1">ROUND(C53/(C28+J31+L55),3)</f>
        <v>0.333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1" workbookViewId="0">
      <selection activeCell="D64" sqref="D6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0.0172</v>
      </c>
      <c r="C2" s="1859" t="s">
        <v>1498</v>
      </c>
      <c r="D2" s="1860">
        <f ca="1">IF(E1="项目模式",IF(E2="——",ROUND(C50*D3/10000,0),ROUND(C50*D3/10000,0)-F2),IF(E1="单套模式",IF(E2="——",ROUND(C50*D3/10000,4),ROUND(C50*D3/10000,4)-F2)))</f>
        <v>0.0172</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68.74</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1586</v>
      </c>
      <c r="F43" s="1945">
        <f>SUMIF(123:123,E43,124:124)-SUMIF(123:123,C43,124:124)+100</f>
        <v>98</v>
      </c>
      <c r="G43" s="1959" t="s">
        <v>1586</v>
      </c>
      <c r="H43" s="1915">
        <f>SUMIF(123:123,G43,124:124)-SUMIF(123:123,C43,124:124)+100</f>
        <v>98</v>
      </c>
      <c r="I43" s="1959" t="s">
        <v>1586</v>
      </c>
      <c r="J43" s="1915">
        <f>SUMIF(123:123,I43,124:124)-SUMIF(123:123,C43,124:124)+100</f>
        <v>98</v>
      </c>
      <c r="K43" s="1520">
        <v>2</v>
      </c>
      <c r="L43" s="1475"/>
      <c r="M43" s="1391"/>
      <c r="N43" s="1391"/>
      <c r="O43" s="1391"/>
      <c r="P43" s="2140"/>
      <c r="Q43" s="1051" t="str">
        <f t="shared" si="30"/>
        <v>内部装修</v>
      </c>
      <c r="R43" s="2125" t="s">
        <v>1515</v>
      </c>
      <c r="S43" s="2126">
        <f t="shared" ref="S43:W43" si="53">F43</f>
        <v>98</v>
      </c>
      <c r="T43" s="2125" t="s">
        <v>1515</v>
      </c>
      <c r="U43" s="2126">
        <f t="shared" si="53"/>
        <v>98</v>
      </c>
      <c r="V43" s="2125" t="s">
        <v>1515</v>
      </c>
      <c r="W43" s="2126">
        <f t="shared" si="53"/>
        <v>98</v>
      </c>
      <c r="X43" s="1396"/>
      <c r="Y43" s="1526"/>
      <c r="Z43" s="1491" t="str">
        <f t="shared" si="32"/>
        <v>内部装修</v>
      </c>
      <c r="AA43" s="1491">
        <f t="shared" si="33"/>
        <v>1.02040816326531</v>
      </c>
      <c r="AB43" s="1491">
        <f t="shared" si="34"/>
        <v>1.02040816326531</v>
      </c>
      <c r="AC43" s="2967">
        <f t="shared" si="35"/>
        <v>1.02040816326531</v>
      </c>
    </row>
    <row r="44" ht="28.8" spans="1:29">
      <c r="A44" s="1754"/>
      <c r="B44" s="1903" t="s">
        <v>1558</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1559</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1560</v>
      </c>
      <c r="B49" s="1969"/>
      <c r="C49" s="1571">
        <f>R50</f>
        <v>2.5</v>
      </c>
      <c r="D49" s="1799" t="s">
        <v>1561</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1562</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1586</v>
      </c>
      <c r="E123" s="2982" t="s">
        <v>1557</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11" workbookViewId="0">
      <selection activeCell="R3" sqref="R3"/>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0.03</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87.3152</v>
      </c>
      <c r="C2" s="2388" t="s">
        <v>1847</v>
      </c>
      <c r="D2" s="2389" t="s">
        <v>1848</v>
      </c>
      <c r="E2" s="2390">
        <f>SUM(E6:E13)</f>
        <v>68.74</v>
      </c>
      <c r="F2" s="2384"/>
      <c r="G2" s="2385"/>
      <c r="H2" s="2385"/>
      <c r="I2" s="2385"/>
      <c r="J2" s="2385"/>
      <c r="K2" s="2385"/>
      <c r="L2" s="2385"/>
      <c r="M2" s="2385"/>
      <c r="N2" s="2385"/>
      <c r="O2" s="2385"/>
      <c r="P2" s="2385"/>
      <c r="Q2" s="2385"/>
      <c r="R2" s="2385"/>
      <c r="S2" s="2385"/>
    </row>
    <row r="3" ht="15.6" spans="1:22">
      <c r="A3" s="2386" t="s">
        <v>1101</v>
      </c>
      <c r="B3" s="2391">
        <f ca="1">ROUND(B2*10000/E2,0)</f>
        <v>12702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87.3152</v>
      </c>
      <c r="C6" s="2388" t="s">
        <v>1847</v>
      </c>
      <c r="D6" s="2392"/>
      <c r="E6" s="2403">
        <f>IF(OR(A6=0,F6="否"),0,'数据-取费表'!K6+'数据-取费表'!S6)</f>
        <v>68.74</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估价对象为北京市房地产，为所有。根据《国有土地使用证》[]，估价对象（分摊）出让国有建设用地使用权面积为0平方米，建筑面积为68.74平方米。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估价对象为北京市房地产,属开发建设的，该项目尚在开发建设中。根据《国有土地使用证》[]，估价对象（分摊）出让国有建设用地使用权面积为0平方米，规划建筑面积为68.74平方米。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68.74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1558</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1559</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1566</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1567</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1568</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1569</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1571</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1572</v>
      </c>
      <c r="D76" s="1718" t="s">
        <v>1573</v>
      </c>
      <c r="E76" s="1718" t="s">
        <v>1574</v>
      </c>
      <c r="F76" s="1718" t="s">
        <v>1575</v>
      </c>
      <c r="G76" s="1718" t="s">
        <v>1576</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1572</v>
      </c>
      <c r="D78" s="1723" t="s">
        <v>1573</v>
      </c>
      <c r="E78" s="1723" t="s">
        <v>1574</v>
      </c>
      <c r="F78" s="1723" t="s">
        <v>1575</v>
      </c>
      <c r="G78" s="1723" t="s">
        <v>1576</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1572</v>
      </c>
      <c r="D80" s="1723" t="s">
        <v>1573</v>
      </c>
      <c r="E80" s="1723" t="s">
        <v>1574</v>
      </c>
      <c r="F80" s="1723" t="s">
        <v>1575</v>
      </c>
      <c r="G80" s="1723" t="s">
        <v>1576</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1577</v>
      </c>
      <c r="D82" s="1682" t="s">
        <v>1578</v>
      </c>
      <c r="E82" s="1682" t="s">
        <v>1579</v>
      </c>
      <c r="F82" s="1682" t="s">
        <v>1580</v>
      </c>
      <c r="G82" s="1682" t="s">
        <v>1581</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1572</v>
      </c>
      <c r="D84" s="1723" t="s">
        <v>1573</v>
      </c>
      <c r="E84" s="1723" t="s">
        <v>1574</v>
      </c>
      <c r="F84" s="1723" t="s">
        <v>1575</v>
      </c>
      <c r="G84" s="1723" t="s">
        <v>1576</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1558</v>
      </c>
      <c r="C124" s="1723" t="s">
        <v>1572</v>
      </c>
      <c r="D124" s="1723" t="s">
        <v>1573</v>
      </c>
      <c r="E124" s="1723" t="s">
        <v>1574</v>
      </c>
      <c r="F124" s="1723" t="s">
        <v>1575</v>
      </c>
      <c r="G124" s="1723" t="s">
        <v>1576</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1558</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1559</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1566</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1567</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1568</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1569</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1572</v>
      </c>
      <c r="D76" s="1718" t="s">
        <v>1573</v>
      </c>
      <c r="E76" s="1718" t="s">
        <v>1574</v>
      </c>
      <c r="F76" s="1718" t="s">
        <v>1575</v>
      </c>
      <c r="G76" s="1718" t="s">
        <v>1576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1572</v>
      </c>
      <c r="D78" s="1723" t="s">
        <v>1573</v>
      </c>
      <c r="E78" s="1723" t="s">
        <v>1574</v>
      </c>
      <c r="F78" s="1723" t="s">
        <v>1575</v>
      </c>
      <c r="G78" s="1723" t="s">
        <v>1576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1572</v>
      </c>
      <c r="D80" s="1723" t="s">
        <v>1573</v>
      </c>
      <c r="E80" s="1723" t="s">
        <v>1574</v>
      </c>
      <c r="F80" s="1723" t="s">
        <v>1575</v>
      </c>
      <c r="G80" s="1723" t="s">
        <v>1576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1577</v>
      </c>
      <c r="D82" s="1499" t="s">
        <v>1578</v>
      </c>
      <c r="E82" s="1499" t="s">
        <v>1579</v>
      </c>
      <c r="F82" s="1499" t="s">
        <v>1580</v>
      </c>
      <c r="G82" s="1499" t="s">
        <v>1581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1572</v>
      </c>
      <c r="D84" s="1723" t="s">
        <v>1573</v>
      </c>
      <c r="E84" s="1723" t="s">
        <v>1574</v>
      </c>
      <c r="F84" s="1723" t="s">
        <v>1575</v>
      </c>
      <c r="G84" s="1723" t="s">
        <v>1576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1558</v>
      </c>
      <c r="C124" s="1723" t="s">
        <v>1572</v>
      </c>
      <c r="D124" s="1723" t="s">
        <v>1573</v>
      </c>
      <c r="E124" s="1723" t="s">
        <v>1574</v>
      </c>
      <c r="F124" s="1723" t="s">
        <v>1575</v>
      </c>
      <c r="G124" s="1723" t="s">
        <v>1576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68.74</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1559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1560</v>
      </c>
      <c r="B42" s="1969"/>
      <c r="C42" s="1571" t="e">
        <f>R43</f>
        <v>#DIV/0!</v>
      </c>
      <c r="D42" s="1799" t="s">
        <v>1561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1566</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1569</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1571</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1572</v>
      </c>
      <c r="D70" s="1718" t="s">
        <v>1573</v>
      </c>
      <c r="E70" s="1718" t="s">
        <v>1574</v>
      </c>
      <c r="F70" s="1718" t="s">
        <v>1575</v>
      </c>
      <c r="G70" s="1718" t="s">
        <v>1576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1572</v>
      </c>
      <c r="D72" s="1723" t="s">
        <v>1573</v>
      </c>
      <c r="E72" s="1723" t="s">
        <v>1574</v>
      </c>
      <c r="F72" s="1723" t="s">
        <v>1575</v>
      </c>
      <c r="G72" s="1723" t="s">
        <v>1576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1572</v>
      </c>
      <c r="D74" s="1723" t="s">
        <v>1573</v>
      </c>
      <c r="E74" s="1723" t="s">
        <v>1574</v>
      </c>
      <c r="F74" s="1723" t="s">
        <v>1575</v>
      </c>
      <c r="G74" s="1723" t="s">
        <v>1576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1577</v>
      </c>
      <c r="D76" s="1499" t="s">
        <v>1578</v>
      </c>
      <c r="E76" s="1499" t="s">
        <v>1579</v>
      </c>
      <c r="F76" s="1499" t="s">
        <v>1580</v>
      </c>
      <c r="G76" s="1499" t="s">
        <v>1581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1572</v>
      </c>
      <c r="D78" s="1723" t="s">
        <v>1573</v>
      </c>
      <c r="E78" s="1723" t="s">
        <v>1574</v>
      </c>
      <c r="F78" s="1723" t="s">
        <v>1575</v>
      </c>
      <c r="G78" s="1723" t="s">
        <v>1576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1572</v>
      </c>
      <c r="D106" s="1723" t="s">
        <v>1573</v>
      </c>
      <c r="E106" s="1723" t="s">
        <v>1574</v>
      </c>
      <c r="F106" s="1723" t="s">
        <v>1575</v>
      </c>
      <c r="G106" s="1723" t="s">
        <v>1576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1560</v>
      </c>
      <c r="B38" s="1969" t="str">
        <f>B37</f>
        <v>元/平方米</v>
      </c>
      <c r="C38" s="1571" t="e">
        <f>R39</f>
        <v>#DIV/0!</v>
      </c>
      <c r="D38" s="1799" t="s">
        <v>1561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1569</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1572</v>
      </c>
      <c r="D63" s="1718" t="s">
        <v>1573</v>
      </c>
      <c r="E63" s="1718" t="s">
        <v>1574</v>
      </c>
      <c r="F63" s="1718" t="s">
        <v>1575</v>
      </c>
      <c r="G63" s="1718" t="s">
        <v>1576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1572</v>
      </c>
      <c r="D65" s="1723" t="s">
        <v>1573</v>
      </c>
      <c r="E65" s="1723" t="s">
        <v>1574</v>
      </c>
      <c r="F65" s="1723" t="s">
        <v>1575</v>
      </c>
      <c r="G65" s="1723" t="s">
        <v>1576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1577</v>
      </c>
      <c r="D67" s="1499" t="s">
        <v>1578</v>
      </c>
      <c r="E67" s="1499" t="s">
        <v>1579</v>
      </c>
      <c r="F67" s="1499" t="s">
        <v>1580</v>
      </c>
      <c r="G67" s="1499" t="s">
        <v>1581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1572</v>
      </c>
      <c r="D69" s="1723" t="s">
        <v>1573</v>
      </c>
      <c r="E69" s="1723" t="s">
        <v>1574</v>
      </c>
      <c r="F69" s="1723" t="s">
        <v>1575</v>
      </c>
      <c r="G69" s="1723" t="s">
        <v>1576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1559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1560</v>
      </c>
      <c r="B36" s="1969"/>
      <c r="C36" s="1571" t="e">
        <f>R37</f>
        <v>#DIV/0!</v>
      </c>
      <c r="D36" s="1799" t="s">
        <v>1561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1569</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1572</v>
      </c>
      <c r="D61" s="1718" t="s">
        <v>1573</v>
      </c>
      <c r="E61" s="1718" t="s">
        <v>1574</v>
      </c>
      <c r="F61" s="1718" t="s">
        <v>1575</v>
      </c>
      <c r="G61" s="1718" t="s">
        <v>1576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1572</v>
      </c>
      <c r="D63" s="1723" t="s">
        <v>1573</v>
      </c>
      <c r="E63" s="1723" t="s">
        <v>1574</v>
      </c>
      <c r="F63" s="1723" t="s">
        <v>1575</v>
      </c>
      <c r="G63" s="1723" t="s">
        <v>1576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1577</v>
      </c>
      <c r="D65" s="1499" t="s">
        <v>1578</v>
      </c>
      <c r="E65" s="1499" t="s">
        <v>1579</v>
      </c>
      <c r="F65" s="1499" t="s">
        <v>1580</v>
      </c>
      <c r="G65" s="1499" t="s">
        <v>1581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1572</v>
      </c>
      <c r="D67" s="1723" t="s">
        <v>1573</v>
      </c>
      <c r="E67" s="1723" t="s">
        <v>1574</v>
      </c>
      <c r="F67" s="1723" t="s">
        <v>1575</v>
      </c>
      <c r="G67" s="1723" t="s">
        <v>1576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1560</v>
      </c>
      <c r="B49" s="1567"/>
      <c r="C49" s="1568" t="e">
        <f>R50</f>
        <v>#DIV/0!</v>
      </c>
      <c r="D49" s="1799" t="s">
        <v>1561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68.74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68.74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1569</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1572</v>
      </c>
      <c r="D89" s="1718" t="s">
        <v>1573</v>
      </c>
      <c r="E89" s="1718" t="s">
        <v>1574</v>
      </c>
      <c r="F89" s="1718" t="s">
        <v>1575</v>
      </c>
      <c r="G89" s="1718" t="s">
        <v>1576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1572</v>
      </c>
      <c r="D91" s="1723" t="s">
        <v>1573</v>
      </c>
      <c r="E91" s="1723" t="s">
        <v>1574</v>
      </c>
      <c r="F91" s="1723" t="s">
        <v>1575</v>
      </c>
      <c r="G91" s="1723" t="s">
        <v>1576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1572</v>
      </c>
      <c r="D93" s="1723" t="s">
        <v>1573</v>
      </c>
      <c r="E93" s="1723" t="s">
        <v>1574</v>
      </c>
      <c r="F93" s="1723" t="s">
        <v>1575</v>
      </c>
      <c r="G93" s="1723" t="s">
        <v>1576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1572</v>
      </c>
      <c r="D95" s="1723" t="s">
        <v>1573</v>
      </c>
      <c r="E95" s="1723" t="s">
        <v>1574</v>
      </c>
      <c r="F95" s="1723" t="s">
        <v>1575</v>
      </c>
      <c r="G95" s="1723" t="s">
        <v>1576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1572</v>
      </c>
      <c r="D97" s="1723" t="s">
        <v>1573</v>
      </c>
      <c r="E97" s="1723" t="s">
        <v>1574</v>
      </c>
      <c r="F97" s="1723" t="s">
        <v>1575</v>
      </c>
      <c r="G97" s="1723" t="s">
        <v>1576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1572</v>
      </c>
      <c r="D99" s="1718" t="s">
        <v>1573</v>
      </c>
      <c r="E99" s="1718" t="s">
        <v>1574</v>
      </c>
      <c r="F99" s="1718" t="s">
        <v>1575</v>
      </c>
      <c r="G99" s="1718" t="s">
        <v>1576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1572</v>
      </c>
      <c r="D101" s="1718" t="s">
        <v>1573</v>
      </c>
      <c r="E101" s="1718" t="s">
        <v>1574</v>
      </c>
      <c r="F101" s="1718" t="s">
        <v>1575</v>
      </c>
      <c r="G101" s="1718" t="s">
        <v>1576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1577</v>
      </c>
      <c r="D103" s="1499" t="s">
        <v>1578</v>
      </c>
      <c r="E103" s="1499" t="s">
        <v>1579</v>
      </c>
      <c r="F103" s="1499" t="s">
        <v>1580</v>
      </c>
      <c r="G103" s="1499" t="s">
        <v>1581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1560</v>
      </c>
      <c r="B44" s="1567"/>
      <c r="C44" s="1568" t="e">
        <f>R45</f>
        <v>#DIV/0!</v>
      </c>
      <c r="D44" s="1569" t="s">
        <v>1561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68.74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1569</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1572</v>
      </c>
      <c r="D85" s="1718" t="s">
        <v>1573</v>
      </c>
      <c r="E85" s="1718" t="s">
        <v>1574</v>
      </c>
      <c r="F85" s="1718" t="s">
        <v>1575</v>
      </c>
      <c r="G85" s="1718" t="s">
        <v>1576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1572</v>
      </c>
      <c r="D87" s="1723" t="s">
        <v>1573</v>
      </c>
      <c r="E87" s="1723" t="s">
        <v>1574</v>
      </c>
      <c r="F87" s="1723" t="s">
        <v>1575</v>
      </c>
      <c r="G87" s="1723" t="s">
        <v>1576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1572</v>
      </c>
      <c r="D89" s="1718" t="s">
        <v>1573</v>
      </c>
      <c r="E89" s="1718" t="s">
        <v>1574</v>
      </c>
      <c r="F89" s="1718" t="s">
        <v>1575</v>
      </c>
      <c r="G89" s="1718" t="s">
        <v>1576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1572</v>
      </c>
      <c r="D91" s="1718" t="s">
        <v>1573</v>
      </c>
      <c r="E91" s="1718" t="s">
        <v>1574</v>
      </c>
      <c r="F91" s="1718" t="s">
        <v>1575</v>
      </c>
      <c r="G91" s="1718" t="s">
        <v>1576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1572</v>
      </c>
      <c r="D93" s="1718" t="s">
        <v>1573</v>
      </c>
      <c r="E93" s="1718" t="s">
        <v>1574</v>
      </c>
      <c r="F93" s="1718" t="s">
        <v>1575</v>
      </c>
      <c r="G93" s="1718" t="s">
        <v>1576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1577</v>
      </c>
      <c r="D95" s="1499" t="s">
        <v>1578</v>
      </c>
      <c r="E95" s="1499" t="s">
        <v>1579</v>
      </c>
      <c r="F95" s="1499" t="s">
        <v>1580</v>
      </c>
      <c r="G95" s="1499" t="s">
        <v>1581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-1</v>
      </c>
      <c r="C2" s="719" t="s">
        <v>1987</v>
      </c>
      <c r="D2" s="1260"/>
      <c r="E2" s="716"/>
      <c r="G2" s="716"/>
      <c r="H2" s="716"/>
      <c r="I2" s="716"/>
      <c r="J2" s="716"/>
      <c r="K2" s="716"/>
    </row>
    <row r="3" ht="18" customHeight="1" spans="1:33">
      <c r="A3" s="420" t="s">
        <v>1101</v>
      </c>
      <c r="B3" s="606">
        <f ca="1">ROUND(B2*10000/IF(C1="",'数据-汇总表'!E3,INDIRECT("'数据-取费表'!K"&amp;$K$1)),0)</f>
        <v>-145</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1</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0.03</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1</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1</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1</v>
      </c>
      <c r="D22" s="1299">
        <f ca="1">IF(C1="",'数据-汇总表'!E6,IF(INDIRECT("'数据-取费表'!c"&amp;$K$1)="住宅",INDIRECT("'数据-取费表'!s"&amp;$K$1),INDIRECT("'数据-取费表'!k"&amp;$K$1)+INDIRECT("'数据-取费表'!s"&amp;$K$1)))</f>
        <v>68.74</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68.74</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68.74</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0.01</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-1</v>
      </c>
      <c r="D36" s="760"/>
      <c r="E36" s="760"/>
      <c r="F36" s="1313"/>
      <c r="G36" s="1329" t="s">
        <v>2037</v>
      </c>
      <c r="H36" s="760"/>
      <c r="I36" s="760"/>
      <c r="J36" s="760"/>
      <c r="K36" s="1271"/>
    </row>
    <row r="37" s="1258" customFormat="1" ht="15.15" spans="1:11">
      <c r="A37" s="1330">
        <v>10</v>
      </c>
      <c r="B37" s="1331" t="s">
        <v>2038</v>
      </c>
      <c r="C37" s="1332">
        <f ca="1">ROUND(C36*(1+F37),0)</f>
        <v>-1</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1</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1</v>
      </c>
      <c r="D53" s="1343"/>
      <c r="E53" s="1343"/>
      <c r="F53" s="1343"/>
      <c r="G53" s="1343"/>
    </row>
    <row r="54" s="1259" customFormat="1" spans="1:7">
      <c r="A54" s="1346" t="s">
        <v>1128</v>
      </c>
      <c r="B54" s="1347" t="s">
        <v>1129</v>
      </c>
      <c r="C54" s="1348">
        <f ca="1" t="shared" si="0"/>
        <v>1</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135.6034</v>
      </c>
      <c r="E5" s="4684"/>
    </row>
    <row r="6" ht="31.2" spans="1:5">
      <c r="A6" s="4684"/>
      <c r="B6" s="4688"/>
      <c r="C6" s="4689" t="s">
        <v>98</v>
      </c>
      <c r="D6" s="4690" t="str">
        <f ca="1">NUMBERSTRING(INT(D5*10000),2)&amp;"元整"</f>
        <v>壹佰叁拾伍万陆仟零叁拾肆元整</v>
      </c>
      <c r="E6" s="4684"/>
    </row>
    <row r="7" ht="15.6" spans="1:5">
      <c r="A7" s="4684"/>
      <c r="B7" s="4691"/>
      <c r="C7" s="4692" t="s">
        <v>99</v>
      </c>
      <c r="D7" s="4693">
        <f ca="1">结果表!H102</f>
        <v>2869799</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135.6034</v>
      </c>
      <c r="E13" s="4684"/>
    </row>
    <row r="14" ht="31.2" spans="1:5">
      <c r="A14" s="4684"/>
      <c r="B14" s="4688"/>
      <c r="C14" s="4689" t="s">
        <v>98</v>
      </c>
      <c r="D14" s="4690" t="str">
        <f ca="1">NUMBERSTRING(INT(D13*10000),2)&amp;"元整"</f>
        <v>壹佰叁拾伍万陆仟零叁拾肆元整</v>
      </c>
      <c r="E14" s="4684"/>
    </row>
    <row r="15" ht="15.6" spans="1:5">
      <c r="A15" s="4684"/>
      <c r="B15" s="4691"/>
      <c r="C15" s="4692" t="s">
        <v>99</v>
      </c>
      <c r="D15" s="4703">
        <f ca="1">结果表!H108</f>
        <v>2869799</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1572</v>
      </c>
      <c r="K49" s="1169" t="s">
        <v>1573</v>
      </c>
      <c r="L49" s="1169" t="s">
        <v>1574</v>
      </c>
      <c r="M49" s="1169" t="s">
        <v>1575</v>
      </c>
      <c r="N49" s="1169" t="s">
        <v>1576</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1572</v>
      </c>
      <c r="K60" s="1169" t="s">
        <v>1573</v>
      </c>
      <c r="L60" s="1169" t="s">
        <v>1574</v>
      </c>
      <c r="M60" s="1169" t="s">
        <v>1575</v>
      </c>
      <c r="N60" s="1169" t="s">
        <v>1576</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1572</v>
      </c>
      <c r="K71" s="1169" t="s">
        <v>1573</v>
      </c>
      <c r="L71" s="1169" t="s">
        <v>1574</v>
      </c>
      <c r="M71" s="1169" t="s">
        <v>1575</v>
      </c>
      <c r="N71" s="1169" t="s">
        <v>1576</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1572</v>
      </c>
      <c r="K82" s="1169" t="s">
        <v>1573</v>
      </c>
      <c r="L82" s="1169" t="s">
        <v>1574</v>
      </c>
      <c r="M82" s="1169" t="s">
        <v>1575</v>
      </c>
      <c r="N82" s="1169" t="s">
        <v>1576</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1572</v>
      </c>
      <c r="K92" s="1205" t="s">
        <v>1573</v>
      </c>
      <c r="L92" s="1205" t="s">
        <v>1574</v>
      </c>
      <c r="M92" s="1205" t="s">
        <v>1575</v>
      </c>
      <c r="N92" s="1205" t="s">
        <v>1576</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-27</v>
      </c>
      <c r="C2" s="719" t="s">
        <v>1987</v>
      </c>
      <c r="D2" s="719"/>
      <c r="E2" s="716"/>
      <c r="F2" s="716"/>
      <c r="G2" s="716"/>
      <c r="H2" s="716"/>
      <c r="I2" s="716"/>
      <c r="J2" s="716"/>
      <c r="K2" s="716"/>
    </row>
    <row r="3" ht="18" customHeight="1" spans="1:33">
      <c r="A3" s="420" t="s">
        <v>1101</v>
      </c>
      <c r="B3" s="606">
        <f ca="1">ROUND(B2*10000/IF(C1="",'数据-汇总表'!E3,INDIRECT("'数据-取费表'!K"&amp;$K$1)),0)</f>
        <v>-3928</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27</v>
      </c>
      <c r="D15" s="763"/>
      <c r="E15" s="764"/>
      <c r="F15" s="765"/>
      <c r="G15" s="766" t="s">
        <v>1196</v>
      </c>
      <c r="H15" s="767"/>
      <c r="I15" s="767"/>
      <c r="J15" s="767"/>
      <c r="K15" s="768"/>
    </row>
    <row r="16" s="706" customFormat="1" ht="13.5" customHeight="1" spans="1:33">
      <c r="A16" s="769" t="s">
        <v>2166</v>
      </c>
      <c r="B16" s="770" t="s">
        <v>1177</v>
      </c>
      <c r="C16" s="771">
        <f ca="1">SUM(C17:C22)</f>
        <v>28</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25</v>
      </c>
      <c r="D17" s="777"/>
      <c r="E17" s="778"/>
      <c r="F17" s="779"/>
      <c r="G17" s="780"/>
      <c r="H17" s="758"/>
      <c r="I17" s="758"/>
      <c r="J17" s="758"/>
      <c r="K17" s="759"/>
    </row>
    <row r="18" s="706" customFormat="1" ht="13.5" customHeight="1" spans="1:33">
      <c r="A18" s="774" t="s">
        <v>2270</v>
      </c>
      <c r="B18" s="781" t="s">
        <v>1121</v>
      </c>
      <c r="C18" s="776">
        <f ca="1">ROUND(C17*F18,0)</f>
        <v>1</v>
      </c>
      <c r="D18" s="770"/>
      <c r="E18" s="770"/>
      <c r="F18" s="782">
        <f>'数据-取费表'!B33</f>
        <v>0.03</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2</v>
      </c>
      <c r="D20" s="786">
        <f ca="1">IF(C1="",'数据-汇总表'!E3,INDIRECT("'数据-取费表'!K"&amp;$K$1)+INDIRECT("'数据-取费表'!S"&amp;$K$1))</f>
        <v>68.74</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0.01</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4+0.003V建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4</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35</v>
      </c>
      <c r="D32" s="813"/>
      <c r="E32" s="814"/>
      <c r="F32" s="786"/>
      <c r="G32" s="816" t="s">
        <v>1191</v>
      </c>
      <c r="H32" s="817"/>
      <c r="I32" s="817"/>
      <c r="J32" s="817"/>
      <c r="K32" s="818"/>
    </row>
    <row r="33" s="709" customFormat="1" ht="13.5" customHeight="1" spans="1:11">
      <c r="A33" s="769" t="s">
        <v>1192</v>
      </c>
      <c r="B33" s="819" t="s">
        <v>1166</v>
      </c>
      <c r="C33" s="820">
        <f ca="1">ROUND(C32*(1-F33),0)</f>
        <v>8</v>
      </c>
      <c r="D33" s="821"/>
      <c r="E33" s="801"/>
      <c r="F33" s="793">
        <f>IF('数据-取费表'!B24=0,'数据-取费表'!N16,1)</f>
        <v>0.77</v>
      </c>
      <c r="G33" s="766" t="s">
        <v>1193</v>
      </c>
      <c r="H33" s="809"/>
      <c r="I33" s="809"/>
      <c r="J33" s="809"/>
      <c r="K33" s="810"/>
    </row>
    <row r="34" s="705" customFormat="1" ht="16.35" spans="1:11">
      <c r="A34" s="822">
        <v>4</v>
      </c>
      <c r="B34" s="823" t="s">
        <v>2288</v>
      </c>
      <c r="C34" s="824">
        <f ca="1">C13-C15</f>
        <v>-27</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2</v>
      </c>
      <c r="C2" s="416" t="s">
        <v>1100</v>
      </c>
      <c r="D2" s="416"/>
      <c r="E2" s="605"/>
      <c r="F2" s="416"/>
      <c r="G2" s="416"/>
    </row>
    <row r="3" s="405" customFormat="1" ht="15.6" spans="1:7">
      <c r="A3" s="420" t="s">
        <v>1101</v>
      </c>
      <c r="B3" s="606">
        <f ca="1">ROUND(B2*10000/(IF(C1="",'数据-汇总表'!E3,INDIRECT("'数据-取费表'!k"&amp;$G$1))),0)</f>
        <v>291</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3</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1</v>
      </c>
      <c r="D23" s="665">
        <f ca="1">IF(C1="",'数据-汇总表'!E6,IF(INDIRECT("'数据-取费表'!c"&amp;$G$1)="住宅",INDIRECT("'数据-取费表'!s"&amp;$G$1),INDIRECT("'数据-取费表'!k"&amp;$G$1)+INDIRECT("'数据-取费表'!s"&amp;$G$1)))</f>
        <v>68.74</v>
      </c>
      <c r="E23" s="665">
        <f>'数据-取费表'!B28</f>
        <v>200</v>
      </c>
      <c r="F23" s="644"/>
      <c r="G23" s="669"/>
    </row>
    <row r="24" s="407" customFormat="1" ht="14.4" spans="1:9">
      <c r="A24" s="631" t="s">
        <v>1117</v>
      </c>
      <c r="B24" s="670" t="s">
        <v>1230</v>
      </c>
      <c r="C24" s="623">
        <f ca="1">IF(G24="已包含在土地取得成本中","0",ROUND(D24*E24/10000,0))</f>
        <v>1</v>
      </c>
      <c r="D24" s="671">
        <f ca="1">D22+D23</f>
        <v>68.74</v>
      </c>
      <c r="E24" s="671">
        <f>'数据-取费表'!B31</f>
        <v>200</v>
      </c>
      <c r="F24" s="672"/>
      <c r="G24" s="661"/>
    </row>
    <row r="25" s="407" customFormat="1" ht="14.4" spans="1:9">
      <c r="A25" s="631" t="s">
        <v>2126</v>
      </c>
      <c r="B25" s="670" t="s">
        <v>2308</v>
      </c>
      <c r="C25" s="623">
        <f ca="1">ROUND(E25*D25/10000,0)</f>
        <v>2</v>
      </c>
      <c r="D25" s="671">
        <f ca="1">D24</f>
        <v>68.74</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0</v>
      </c>
      <c r="D30" s="681"/>
      <c r="E30" s="682"/>
      <c r="F30" s="686">
        <f ca="1">IF(C1="",'数据-取费表'!Q16,INDIRECT("'数据-取费表'!q"&amp;$G$1))</f>
        <v>0.15</v>
      </c>
      <c r="G30" s="684"/>
    </row>
    <row r="31" s="407" customFormat="1" ht="15.6" spans="1:9">
      <c r="A31" s="687" t="s">
        <v>1348</v>
      </c>
      <c r="B31" s="617" t="s">
        <v>2314</v>
      </c>
      <c r="C31" s="618">
        <f ca="1">C7+C20+C29+C30</f>
        <v>3</v>
      </c>
      <c r="D31" s="688"/>
      <c r="E31" s="688"/>
      <c r="F31" s="689"/>
      <c r="G31" s="690" t="s">
        <v>2315</v>
      </c>
    </row>
    <row r="32" s="407" customFormat="1" ht="15.6" spans="1:9">
      <c r="A32" s="687" t="s">
        <v>2316</v>
      </c>
      <c r="B32" s="617" t="s">
        <v>2317</v>
      </c>
      <c r="C32" s="691">
        <f ca="1">ROUND(C31*F32,0)</f>
        <v>0</v>
      </c>
      <c r="D32" s="453"/>
      <c r="E32" s="454"/>
      <c r="F32" s="692">
        <v>0.1</v>
      </c>
      <c r="G32" s="693"/>
    </row>
    <row r="33" s="407" customFormat="1" ht="15.6" spans="1:7">
      <c r="A33" s="694">
        <v>8</v>
      </c>
      <c r="B33" s="617" t="s">
        <v>2318</v>
      </c>
      <c r="C33" s="618">
        <f ca="1">C31+C32</f>
        <v>3</v>
      </c>
      <c r="D33" s="688"/>
      <c r="E33" s="688"/>
      <c r="F33" s="695"/>
      <c r="G33" s="690" t="s">
        <v>2319</v>
      </c>
    </row>
    <row r="34" s="408" customFormat="1" ht="16.35" spans="1:7">
      <c r="A34" s="696">
        <v>9</v>
      </c>
      <c r="B34" s="697" t="s">
        <v>2320</v>
      </c>
      <c r="C34" s="618">
        <f ca="1">ROUND(C33*F34,0)</f>
        <v>2</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26142</v>
      </c>
      <c r="C2" s="419" t="s">
        <v>1666</v>
      </c>
      <c r="D2" s="416"/>
      <c r="E2" s="416"/>
      <c r="F2" s="416"/>
      <c r="G2" s="416"/>
    </row>
    <row r="3" s="405" customFormat="1" ht="18" customHeight="1" spans="1:7">
      <c r="A3" s="420" t="s">
        <v>2534</v>
      </c>
      <c r="B3" s="421">
        <f ca="1">ROUND(B2*10000/'数据-汇总表'!E3,0)</f>
        <v>3803026</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1</v>
      </c>
      <c r="D10" s="443">
        <f>'数据-汇总表'!E6</f>
        <v>68.74</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1</v>
      </c>
      <c r="D19" s="428">
        <f>'数据-汇总表'!E3</f>
        <v>68.74</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3153</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3153</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26115</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28</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25</v>
      </c>
      <c r="D34" s="433"/>
      <c r="E34" s="436"/>
      <c r="F34" s="479">
        <f>IF('数据-取费表'!B24=0,1,'数据-取费表'!N16)</f>
        <v>1</v>
      </c>
      <c r="G34" s="435" t="s">
        <v>2582</v>
      </c>
    </row>
    <row r="35" ht="13.5" customHeight="1" spans="1:7">
      <c r="A35" s="458" t="s">
        <v>1115</v>
      </c>
      <c r="B35" s="431" t="s">
        <v>2583</v>
      </c>
      <c r="C35" s="436">
        <f>ROUND(C34*F35,0)</f>
        <v>1</v>
      </c>
      <c r="D35" s="436"/>
      <c r="E35" s="436"/>
      <c r="F35" s="480">
        <f>'数据-取费表'!B33</f>
        <v>0.03</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2</v>
      </c>
      <c r="D37" s="433">
        <f>'数据-汇总表'!E3</f>
        <v>68.74</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4</v>
      </c>
      <c r="D45" s="453">
        <f>C47</f>
        <v>0.003</v>
      </c>
      <c r="E45" s="454" t="s">
        <v>2589</v>
      </c>
      <c r="F45" s="468"/>
      <c r="G45" s="469" t="s">
        <v>2592</v>
      </c>
    </row>
    <row r="46" s="407" customFormat="1" ht="13.5" customHeight="1" spans="1:7">
      <c r="A46" s="458" t="s">
        <v>1113</v>
      </c>
      <c r="B46" s="470" t="s">
        <v>2593</v>
      </c>
      <c r="C46" s="471">
        <f>ROUND((C33+C39)*F27,0)</f>
        <v>4</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35</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27</v>
      </c>
      <c r="D51" s="450"/>
      <c r="E51" s="450"/>
      <c r="F51" s="488"/>
      <c r="G51" s="455" t="s">
        <v>2602</v>
      </c>
    </row>
    <row r="52" s="406" customFormat="1" ht="16.35" spans="1:7">
      <c r="A52" s="489" t="s">
        <v>2603</v>
      </c>
      <c r="B52" s="490"/>
      <c r="C52" s="491">
        <f ca="1">C31+C51</f>
        <v>26142</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68.74</v>
      </c>
      <c r="C4" s="4673">
        <f>项目基本情况!C18</f>
        <v>0</v>
      </c>
      <c r="D4" s="4673" t="e">
        <f ca="1">结果表!D118</f>
        <v>#REF!</v>
      </c>
      <c r="E4" s="4673" t="e">
        <f ca="1">结果表!E118</f>
        <v>#REF!</v>
      </c>
      <c r="F4" s="4673" t="e">
        <f ca="1">结果表!F118</f>
        <v>#REF!</v>
      </c>
      <c r="G4" s="4673" t="e">
        <f ca="1">结果表!G118</f>
        <v>#REF!</v>
      </c>
      <c r="H4" s="4673">
        <f ca="1">结果表!H118</f>
        <v>135.6034</v>
      </c>
      <c r="I4" s="4673">
        <f ca="1">结果表!I118</f>
        <v>2869799</v>
      </c>
    </row>
    <row r="5" ht="30" customHeight="1" spans="1:9">
      <c r="A5" s="4673" t="s">
        <v>112</v>
      </c>
      <c r="B5" s="4673"/>
      <c r="C5" s="4673"/>
      <c r="D5" s="4673" t="e">
        <f ca="1">结果表!D119</f>
        <v>#REF!</v>
      </c>
      <c r="E5" s="4673"/>
      <c r="F5" s="4673" t="e">
        <f ca="1">结果表!F119</f>
        <v>#REF!</v>
      </c>
      <c r="G5" s="4673"/>
      <c r="H5" s="4673" t="str">
        <f ca="1">结果表!H119</f>
        <v>壹佰叁拾伍万陆仟零叁拾肆元整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135.6034</v>
      </c>
      <c r="E8" s="4675"/>
      <c r="F8" s="4675"/>
      <c r="G8" s="4675"/>
      <c r="H8" s="4675"/>
      <c r="I8" s="4675"/>
    </row>
    <row r="9" ht="15" spans="1:9">
      <c r="A9" s="4673" t="s">
        <v>112</v>
      </c>
      <c r="B9" s="4673"/>
      <c r="C9" s="4673"/>
      <c r="D9" s="4673" t="str">
        <f ca="1">结果表!H123</f>
        <v>壹佰叁拾伍万陆仟零叁拾肆元整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46098</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2026-03-17T04:39:30Z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