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3" activeTab="2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r:id="rId29"/>
    <sheet name="收益法 (元) 办公" sheetId="7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3" i="79" l="1"/>
  <c r="I14" i="3" s="1"/>
  <c r="I13" i="3" l="1"/>
  <c r="A3" i="3" s="1"/>
  <c r="A126" i="78" l="1"/>
  <c r="A124" i="78"/>
  <c r="A122" i="78"/>
  <c r="A120" i="78"/>
  <c r="E111" i="78"/>
  <c r="H112" i="78" s="1"/>
  <c r="E109" i="78"/>
  <c r="H109" i="78" s="1"/>
  <c r="E107" i="78"/>
  <c r="H106" i="78"/>
  <c r="H105" i="78"/>
  <c r="H104" i="78"/>
  <c r="D101" i="78"/>
  <c r="C101" i="78"/>
  <c r="C91" i="78"/>
  <c r="E90" i="78"/>
  <c r="D89" i="78"/>
  <c r="C89" i="78" s="1"/>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N6" i="1"/>
  <c r="Y7" i="1" s="1"/>
  <c r="Q72" i="77"/>
  <c r="Q59" i="77"/>
  <c r="K59" i="77"/>
  <c r="P74" i="77" s="1"/>
  <c r="F59" i="77"/>
  <c r="Q58" i="77"/>
  <c r="Q51" i="77"/>
  <c r="J50" i="77"/>
  <c r="M47" i="77"/>
  <c r="D46" i="77"/>
  <c r="F33" i="77"/>
  <c r="F61" i="77" s="1"/>
  <c r="F31" i="77"/>
  <c r="F23" i="77"/>
  <c r="D24" i="77" s="1"/>
  <c r="D23" i="77"/>
  <c r="D22" i="77"/>
  <c r="F21" i="77"/>
  <c r="F20" i="77"/>
  <c r="M19" i="77"/>
  <c r="F18" i="77"/>
  <c r="M17" i="77"/>
  <c r="F17" i="77"/>
  <c r="F15" i="77"/>
  <c r="H103" i="78" l="1"/>
  <c r="D120" i="78" s="1"/>
  <c r="H111" i="78"/>
  <c r="D126" i="78" s="1"/>
  <c r="D127" i="78" s="1"/>
  <c r="C18" i="78"/>
  <c r="D18" i="78" s="1"/>
  <c r="C92" i="78"/>
  <c r="C94" i="78"/>
  <c r="K120" i="78"/>
  <c r="D121" i="78"/>
  <c r="D124" i="78"/>
  <c r="D125" i="78" s="1"/>
  <c r="H110" i="78"/>
  <c r="M49" i="78"/>
  <c r="P61" i="77"/>
  <c r="B25" i="31"/>
  <c r="B24" i="31"/>
  <c r="A25" i="31"/>
  <c r="A24" i="31"/>
  <c r="N7" i="1"/>
  <c r="Y6" i="1"/>
  <c r="F20" i="6"/>
  <c r="F19" i="6"/>
  <c r="L66" i="78" l="1"/>
  <c r="M66" i="78" s="1"/>
  <c r="L65" i="78"/>
  <c r="M65" i="78" s="1"/>
  <c r="L64" i="78"/>
  <c r="M64" i="78" s="1"/>
  <c r="L68" i="78"/>
  <c r="M68" i="78" s="1"/>
  <c r="L67" i="78"/>
  <c r="M67" i="78" s="1"/>
  <c r="L63" i="78"/>
  <c r="M63" i="78" s="1"/>
  <c r="M69" i="78" s="1"/>
  <c r="N69" i="78" s="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7" i="76"/>
  <c r="B8" i="76"/>
  <c r="E10" i="76"/>
  <c r="E11" i="76"/>
  <c r="B11" i="76"/>
  <c r="B10" i="76"/>
  <c r="E9" i="76"/>
  <c r="B13" i="76"/>
  <c r="B12" i="76"/>
  <c r="E13" i="76"/>
  <c r="E8" i="76"/>
  <c r="E12" i="76"/>
  <c r="B7" i="76"/>
  <c r="B9" i="76"/>
  <c r="C76" i="9" l="1"/>
  <c r="I107" i="40" l="1"/>
  <c r="K6" i="4" l="1"/>
  <c r="M56" i="78" l="1"/>
  <c r="J56" i="78"/>
  <c r="J57" i="78" s="1"/>
  <c r="J59" i="78" s="1"/>
  <c r="J61" i="78" s="1"/>
  <c r="N56" i="78"/>
  <c r="K56" i="78"/>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3" i="73"/>
  <c r="F4" i="73"/>
  <c r="F6" i="73"/>
  <c r="D3" i="73"/>
  <c r="I1" i="73" l="1"/>
  <c r="B39" i="1" s="1"/>
  <c r="D6" i="73"/>
  <c r="D5" i="73"/>
  <c r="D4" i="73"/>
  <c r="D7" i="73"/>
  <c r="M11" i="77" l="1"/>
  <c r="J10" i="77" s="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9"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U33" i="33"/>
  <c r="U35"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6" i="31"/>
  <c r="U14" i="40"/>
  <c r="AC32" i="36"/>
  <c r="AC33" i="36"/>
  <c r="U35" i="35"/>
  <c r="AA12" i="35"/>
  <c r="W14" i="37"/>
  <c r="AB28" i="37"/>
  <c r="U33" i="37"/>
  <c r="U39" i="37"/>
  <c r="W26" i="37"/>
  <c r="AC8" i="37"/>
  <c r="U26" i="37"/>
  <c r="W47" i="34"/>
  <c r="AB13" i="34"/>
  <c r="W37" i="34"/>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W12" i="34" l="1"/>
  <c r="AC12" i="34"/>
  <c r="U12" i="35"/>
  <c r="AB12" i="35"/>
  <c r="AB34" i="35"/>
  <c r="U34" i="35"/>
  <c r="AC12" i="36"/>
  <c r="W12" i="36"/>
  <c r="AB44" i="39"/>
  <c r="U44" i="39"/>
  <c r="AC37" i="39"/>
  <c r="W37" i="39"/>
  <c r="AC12" i="40"/>
  <c r="W12" i="40"/>
  <c r="U23" i="35"/>
  <c r="AB23" i="35"/>
  <c r="AB9" i="36"/>
  <c r="U9" i="36"/>
  <c r="AC24" i="36"/>
  <c r="W24" i="36"/>
  <c r="AC43" i="39"/>
  <c r="W43" i="39"/>
  <c r="U45" i="39"/>
  <c r="AB45" i="39"/>
  <c r="AZ521" i="3"/>
  <c r="AZ581" i="3"/>
  <c r="BA551" i="3"/>
  <c r="BL550" i="3"/>
  <c r="BA550" i="3"/>
  <c r="BL548" i="3"/>
  <c r="AZ548" i="3" s="1"/>
  <c r="F7" i="1"/>
  <c r="G7" i="1" s="1"/>
  <c r="AZ403" i="3"/>
  <c r="AZ406" i="3"/>
  <c r="AZ419" i="3"/>
  <c r="AZ422" i="3"/>
  <c r="AZ435" i="3"/>
  <c r="AZ438" i="3"/>
  <c r="AZ442" i="3"/>
  <c r="AZ469" i="3"/>
  <c r="G28" i="6"/>
  <c r="AZ326" i="3"/>
  <c r="AZ311" i="3"/>
  <c r="AZ372" i="3"/>
  <c r="AZ347" i="3"/>
  <c r="AZ344" i="3"/>
  <c r="AZ337" i="3"/>
  <c r="AZ320" i="3"/>
  <c r="AZ313" i="3"/>
  <c r="AZ305" i="3"/>
  <c r="AZ362" i="3"/>
  <c r="AZ569" i="3"/>
  <c r="AZ577" i="3"/>
  <c r="AZ557" i="3"/>
  <c r="AZ516" i="3"/>
  <c r="AZ524" i="3"/>
  <c r="AZ532" i="3"/>
  <c r="AZ536" i="3"/>
  <c r="AZ544" i="3"/>
  <c r="AZ554" i="3"/>
  <c r="AZ558" i="3"/>
  <c r="AZ582" i="3"/>
  <c r="U13" i="33"/>
  <c r="AB45" i="33"/>
  <c r="AA14" i="34"/>
  <c r="AB46" i="34"/>
  <c r="AB11" i="36"/>
  <c r="U46" i="33"/>
  <c r="AA13" i="35"/>
  <c r="W33" i="37"/>
  <c r="AC34" i="36"/>
  <c r="AC11" i="40"/>
  <c r="U34" i="21"/>
  <c r="W33" i="33"/>
  <c r="F26" i="33"/>
  <c r="BL586" i="3"/>
  <c r="BL585" i="3"/>
  <c r="AZ585" i="3" s="1"/>
  <c r="F9" i="33"/>
  <c r="AA9" i="33" s="1"/>
  <c r="F12" i="34"/>
  <c r="J23" i="35"/>
  <c r="J36" i="35"/>
  <c r="H12" i="36"/>
  <c r="H24" i="36"/>
  <c r="AB24" i="36" s="1"/>
  <c r="H39"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AZ451" i="3"/>
  <c r="AZ454" i="3"/>
  <c r="AZ458"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86" i="3"/>
  <c r="AZ487" i="3"/>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M47" i="78"/>
  <c r="J51" i="77"/>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 i="77"/>
  <c r="I20" i="66"/>
  <c r="C51" i="10"/>
  <c r="A13" i="51" s="1"/>
  <c r="B11" i="72" s="1"/>
  <c r="A118" i="78"/>
  <c r="A2" i="78"/>
  <c r="G14" i="3"/>
  <c r="I4" i="6"/>
  <c r="G3" i="43" s="1"/>
  <c r="M20" i="15"/>
  <c r="M20" i="77"/>
  <c r="F34" i="77"/>
  <c r="F62" i="77" s="1"/>
  <c r="D78" i="9"/>
  <c r="D93" i="78"/>
  <c r="D78" i="78"/>
  <c r="AC17" i="34"/>
  <c r="S44" i="34"/>
  <c r="AA41" i="34"/>
  <c r="AC36" i="34"/>
  <c r="S35" i="34"/>
  <c r="S28" i="34"/>
  <c r="AB23" i="34"/>
  <c r="AB17" i="34"/>
  <c r="U43" i="33"/>
  <c r="W39" i="33"/>
  <c r="AA13" i="33"/>
  <c r="S9" i="33"/>
  <c r="AB37" i="34"/>
  <c r="W9" i="34"/>
  <c r="S9" i="34"/>
  <c r="W8" i="34"/>
  <c r="BA18" i="3"/>
  <c r="AZ18" i="3" s="1"/>
  <c r="BL15" i="3"/>
  <c r="AZ15"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6" i="43"/>
  <c r="K107" i="43"/>
  <c r="K102" i="43"/>
  <c r="K104" i="43"/>
  <c r="G107" i="43"/>
  <c r="G103" i="43"/>
  <c r="G104" i="43"/>
  <c r="I118" i="43"/>
  <c r="J118" i="43" s="1"/>
  <c r="K118" i="43" s="1"/>
  <c r="L118" i="43" s="1"/>
  <c r="M118" i="43" s="1"/>
  <c r="B116" i="43"/>
  <c r="C116" i="43" s="1"/>
  <c r="E57" i="40"/>
  <c r="D115" i="43"/>
  <c r="E115" i="43" s="1"/>
  <c r="F115" i="43" s="1"/>
  <c r="G115" i="43" s="1"/>
  <c r="H115" i="43" s="1"/>
  <c r="G106" i="43"/>
  <c r="K106" i="43"/>
  <c r="K105" i="43"/>
  <c r="C102"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77"/>
  <c r="M24" i="67"/>
  <c r="M22" i="15"/>
  <c r="F26" i="67"/>
  <c r="F13" i="15"/>
  <c r="L48" i="15"/>
  <c r="F36" i="15"/>
  <c r="M9" i="67"/>
  <c r="M28" i="67"/>
  <c r="F8" i="15"/>
  <c r="M22" i="67"/>
  <c r="M29" i="15"/>
  <c r="F6" i="15"/>
  <c r="M23" i="67"/>
  <c r="M24" i="15"/>
  <c r="F6" i="67"/>
  <c r="F8" i="67"/>
  <c r="F42" i="15"/>
  <c r="M29" i="67"/>
  <c r="M8" i="67"/>
  <c r="M6" i="67"/>
  <c r="F40" i="67"/>
  <c r="J15" i="67"/>
  <c r="F43" i="15"/>
  <c r="M26" i="15"/>
  <c r="F9" i="15"/>
  <c r="J15" i="15"/>
  <c r="G1" i="73"/>
  <c r="M29" i="77"/>
  <c r="C76" i="67"/>
  <c r="M6" i="15"/>
  <c r="M26" i="67"/>
  <c r="L48" i="67"/>
  <c r="F38" i="67"/>
  <c r="F37" i="15"/>
  <c r="L47" i="15"/>
  <c r="F36" i="67"/>
  <c r="F40" i="15"/>
  <c r="C76" i="15"/>
  <c r="F26" i="15"/>
  <c r="M28" i="15"/>
  <c r="F37" i="67"/>
  <c r="F43" i="77"/>
  <c r="F7" i="15"/>
  <c r="M23" i="15"/>
  <c r="F38" i="15"/>
  <c r="F13" i="67"/>
  <c r="F9" i="67"/>
  <c r="F43" i="67"/>
  <c r="F16" i="67"/>
  <c r="M9" i="15"/>
  <c r="M8" i="15"/>
  <c r="L47" i="67"/>
  <c r="F16" i="15"/>
  <c r="F7" i="67"/>
  <c r="F42" i="67"/>
  <c r="C77" i="78" l="1"/>
  <c r="C74" i="78" s="1"/>
  <c r="U39" i="40"/>
  <c r="AB39" i="40"/>
  <c r="U12" i="36"/>
  <c r="AB12" i="36"/>
  <c r="AC23" i="35"/>
  <c r="W23" i="35"/>
  <c r="AC36" i="35"/>
  <c r="W36" i="35"/>
  <c r="S12" i="34"/>
  <c r="AA12" i="34"/>
  <c r="AA26" i="33"/>
  <c r="S26" i="33"/>
  <c r="F53" i="9"/>
  <c r="F52" i="78"/>
  <c r="F32" i="77"/>
  <c r="F60" i="77" s="1"/>
  <c r="F28" i="77"/>
  <c r="C28" i="77" s="1"/>
  <c r="D68" i="78"/>
  <c r="F54" i="78"/>
  <c r="F53" i="78"/>
  <c r="M18" i="77"/>
  <c r="F50" i="77"/>
  <c r="M7" i="77"/>
  <c r="F71" i="77"/>
  <c r="AA11" i="34"/>
  <c r="F105" i="43"/>
  <c r="B117" i="43"/>
  <c r="C117" i="43" s="1"/>
  <c r="I117" i="43"/>
  <c r="J117" i="43" s="1"/>
  <c r="K117" i="43" s="1"/>
  <c r="L117" i="43" s="1"/>
  <c r="M117" i="43" s="1"/>
  <c r="D118" i="43"/>
  <c r="E118" i="43" s="1"/>
  <c r="F118" i="43" s="1"/>
  <c r="C105" i="43"/>
  <c r="F107" i="43"/>
  <c r="I115" i="43"/>
  <c r="J115" i="43" s="1"/>
  <c r="K115" i="43" s="1"/>
  <c r="L115" i="43" s="1"/>
  <c r="M115" i="43" s="1"/>
  <c r="C106" i="43"/>
  <c r="E56" i="40"/>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76" i="77"/>
  <c r="J15" i="77"/>
  <c r="L47" i="77"/>
  <c r="M28" i="77"/>
  <c r="F6" i="77"/>
  <c r="M26" i="77"/>
  <c r="M27" i="77"/>
  <c r="F36" i="77"/>
  <c r="F37" i="77"/>
  <c r="M9" i="77"/>
  <c r="M23" i="77"/>
  <c r="F13" i="77"/>
  <c r="L48" i="77"/>
  <c r="M22" i="77"/>
  <c r="F16" i="77"/>
  <c r="F26" i="77"/>
  <c r="F9" i="77"/>
  <c r="F8" i="77"/>
  <c r="M8" i="77"/>
  <c r="M6" i="77"/>
  <c r="M24" i="77"/>
  <c r="F40" i="77"/>
  <c r="F42" i="77"/>
  <c r="F38" i="77"/>
  <c r="C16" i="15"/>
  <c r="C16" i="67"/>
  <c r="C14" i="77"/>
  <c r="C17" i="77"/>
  <c r="C17" i="15"/>
  <c r="F66" i="77" l="1"/>
  <c r="F70" i="77"/>
  <c r="F68" i="77"/>
  <c r="F51" i="77"/>
  <c r="C27" i="77"/>
  <c r="L56" i="77"/>
  <c r="L57" i="77"/>
  <c r="L60" i="77"/>
  <c r="J59" i="77"/>
  <c r="J60" i="77"/>
  <c r="Q48" i="77" s="1"/>
  <c r="J53" i="77"/>
  <c r="J57" i="77"/>
  <c r="J55" i="77" s="1"/>
  <c r="J58" i="77" s="1"/>
  <c r="Q50" i="77" s="1"/>
  <c r="I54" i="77"/>
  <c r="F65" i="77"/>
  <c r="F64" i="77"/>
  <c r="C6" i="77"/>
  <c r="C10" i="77" s="1"/>
  <c r="C5" i="77" s="1"/>
  <c r="C38" i="77" s="1"/>
  <c r="M59" i="77"/>
  <c r="L59" i="77"/>
  <c r="N59" i="77"/>
  <c r="L58" i="77"/>
  <c r="Q71" i="77"/>
  <c r="J6" i="77"/>
  <c r="J5" i="77" s="1"/>
  <c r="J24" i="77" s="1"/>
  <c r="C49" i="77"/>
  <c r="C48" i="77" s="1"/>
  <c r="M20" i="6"/>
  <c r="I20" i="6" s="1"/>
  <c r="L18" i="78" s="1"/>
  <c r="B15" i="74" s="1"/>
  <c r="B71" i="72"/>
  <c r="B4" i="72"/>
  <c r="C18" i="77"/>
  <c r="C15" i="77"/>
  <c r="E7" i="70"/>
  <c r="C60" i="77"/>
  <c r="C66" i="77"/>
  <c r="J18" i="77"/>
  <c r="J26" i="77"/>
  <c r="C32" i="77"/>
  <c r="C24" i="77"/>
  <c r="B5" i="62"/>
  <c r="D113" i="43"/>
  <c r="J22" i="43" s="1"/>
  <c r="S5" i="43"/>
  <c r="S7" i="43"/>
  <c r="S4" i="43"/>
  <c r="S6" i="43"/>
  <c r="T6" i="43" s="1"/>
  <c r="V6" i="43" s="1"/>
  <c r="S3" i="43"/>
  <c r="C23" i="43"/>
  <c r="C21" i="43" s="1"/>
  <c r="C29"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H10" i="39"/>
  <c r="J10" i="39"/>
  <c r="C49" i="15"/>
  <c r="Q60" i="15"/>
  <c r="M16" i="1"/>
  <c r="N16" i="1" s="1"/>
  <c r="Q60" i="67"/>
  <c r="Q73" i="67"/>
  <c r="F27" i="11"/>
  <c r="Q61" i="67"/>
  <c r="Q74" i="67"/>
  <c r="C49" i="67"/>
  <c r="F1" i="67"/>
  <c r="Q52" i="67"/>
  <c r="C16" i="77"/>
  <c r="Q60" i="77" l="1"/>
  <c r="Q73" i="77"/>
  <c r="Q61" i="77"/>
  <c r="Q74" i="77"/>
  <c r="L46" i="77"/>
  <c r="F1" i="77"/>
  <c r="Q52" i="77"/>
  <c r="Q66" i="77"/>
  <c r="Q57" i="77"/>
  <c r="M27" i="6"/>
  <c r="B73" i="72"/>
  <c r="C19" i="77"/>
  <c r="C20" i="77" s="1"/>
  <c r="C26" i="77"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23" i="77"/>
  <c r="C29" i="77" s="1"/>
  <c r="C57" i="77" s="1"/>
  <c r="L19" i="78"/>
  <c r="C15" i="74" s="1"/>
  <c r="B2" i="74" s="1"/>
  <c r="M19" i="78"/>
  <c r="C118" i="78" s="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14" i="12"/>
  <c r="C23" i="12"/>
  <c r="E6" i="76"/>
  <c r="Q49" i="77" l="1"/>
  <c r="C36" i="77"/>
  <c r="C13" i="77"/>
  <c r="C75" i="77" s="1"/>
  <c r="C33" i="77"/>
  <c r="J14" i="77"/>
  <c r="J13" i="77" s="1"/>
  <c r="J23" i="77" s="1"/>
  <c r="J19" i="77"/>
  <c r="J22" i="77"/>
  <c r="C64" i="77"/>
  <c r="C61"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77"/>
  <c r="B6" i="76"/>
  <c r="F35" i="67"/>
  <c r="M21" i="67"/>
  <c r="F35" i="15"/>
  <c r="F35" i="77"/>
  <c r="C37" i="77" l="1"/>
  <c r="Q70" i="77"/>
  <c r="C56" i="77"/>
  <c r="C65" i="77" s="1"/>
  <c r="F63" i="77"/>
  <c r="C62" i="77" s="1"/>
  <c r="C59" i="77" s="1"/>
  <c r="C34" i="77"/>
  <c r="C31" i="77" s="1"/>
  <c r="C30" i="77" s="1"/>
  <c r="C39" i="77" s="1"/>
  <c r="C80" i="77" s="1"/>
  <c r="C79" i="77" s="1"/>
  <c r="J20" i="77"/>
  <c r="J17" i="77" s="1"/>
  <c r="J16" i="77" s="1"/>
  <c r="J25"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77" l="1"/>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15"/>
  <c r="M27" i="67"/>
  <c r="F41" i="15"/>
  <c r="F41" i="67"/>
  <c r="F41" i="77"/>
  <c r="J29" i="77" l="1"/>
  <c r="F69" i="77"/>
  <c r="C68" i="77" s="1"/>
  <c r="C71" i="77" s="1"/>
  <c r="C40" i="77"/>
  <c r="Q65" i="77" s="1"/>
  <c r="Q75" i="77" s="1"/>
  <c r="L57" i="15"/>
  <c r="L60" i="15" s="1"/>
  <c r="Q66" i="15" s="1"/>
  <c r="Q67" i="15"/>
  <c r="C43" i="77"/>
  <c r="J26" i="15"/>
  <c r="J29" i="15" s="1"/>
  <c r="J26" i="67"/>
  <c r="J29" i="67" s="1"/>
  <c r="C58" i="15"/>
  <c r="C67" i="15" s="1"/>
  <c r="F69" i="15"/>
  <c r="C40" i="15"/>
  <c r="C43" i="15" s="1"/>
  <c r="L46" i="15"/>
  <c r="F69" i="67"/>
  <c r="C68" i="67" s="1"/>
  <c r="C71" i="67" s="1"/>
  <c r="C40" i="67"/>
  <c r="C83" i="67" s="1"/>
  <c r="C82" i="67" s="1"/>
  <c r="C83" i="77" l="1"/>
  <c r="C82" i="77" s="1"/>
  <c r="Q56" i="77"/>
  <c r="Q62" i="77" s="1"/>
  <c r="D2" i="77"/>
  <c r="B2" i="77" s="1"/>
  <c r="Q47" i="77"/>
  <c r="Q53" i="77" s="1"/>
  <c r="C45" i="77"/>
  <c r="C46" i="77" s="1"/>
  <c r="Q57" i="15"/>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D19" i="78"/>
  <c r="AO6" i="1"/>
  <c r="AO7" i="1"/>
  <c r="B3" i="15" l="1"/>
  <c r="D21" i="78"/>
  <c r="D102" i="78"/>
  <c r="B8" i="70"/>
  <c r="B7" i="70"/>
  <c r="B6" i="70"/>
  <c r="C46" i="15"/>
  <c r="B2" i="69"/>
  <c r="B3" i="69" s="1"/>
  <c r="B2" i="68"/>
  <c r="B3" i="67"/>
  <c r="D35" i="78"/>
  <c r="D2" i="34"/>
  <c r="D2" i="36"/>
  <c r="D34" i="78"/>
  <c r="D2" i="35"/>
  <c r="E2" i="68"/>
  <c r="D2" i="33"/>
  <c r="D20" i="78"/>
  <c r="D2" i="37"/>
  <c r="D2" i="21"/>
  <c r="F20" i="31"/>
  <c r="D103" i="78" l="1"/>
  <c r="B2" i="36"/>
  <c r="B3" i="36" s="1"/>
  <c r="B2" i="35"/>
  <c r="B3" i="35" s="1"/>
  <c r="B2" i="37"/>
  <c r="B3" i="37" s="1"/>
  <c r="B2" i="34"/>
  <c r="B2" i="21"/>
  <c r="B3" i="21" s="1"/>
  <c r="B2" i="70"/>
  <c r="B3" i="70" s="1"/>
  <c r="B3" i="68"/>
  <c r="D19" i="9"/>
  <c r="C19" i="78"/>
  <c r="D20" i="9"/>
  <c r="C21" i="78" l="1"/>
  <c r="C102" i="78"/>
  <c r="D22" i="78"/>
  <c r="G19" i="78"/>
  <c r="B3" i="34"/>
  <c r="D102" i="9"/>
  <c r="D21" i="9"/>
  <c r="D103" i="9"/>
  <c r="C20" i="78"/>
  <c r="C103" i="78" l="1"/>
  <c r="G20" i="78"/>
  <c r="D15" i="74"/>
  <c r="G21" i="78"/>
  <c r="G15" i="74"/>
  <c r="C32" i="78"/>
  <c r="H109" i="9"/>
  <c r="F15" i="74" l="1"/>
  <c r="E15" i="74"/>
  <c r="C35" i="78"/>
  <c r="H118" i="78"/>
  <c r="H110" i="9"/>
  <c r="D18" i="53" s="1"/>
  <c r="B35" i="72" s="1"/>
  <c r="D124" i="9"/>
  <c r="D16" i="53"/>
  <c r="B34" i="72" s="1"/>
  <c r="F118" i="78" l="1"/>
  <c r="C34" i="78"/>
  <c r="D118" i="78" s="1"/>
  <c r="D119" i="78" s="1"/>
  <c r="I118" i="78"/>
  <c r="H119" i="78"/>
  <c r="C104" i="78"/>
  <c r="H101" i="78"/>
  <c r="D10" i="52"/>
  <c r="H14" i="74"/>
  <c r="D17" i="53"/>
  <c r="B36" i="72" s="1"/>
  <c r="D125" i="9"/>
  <c r="D11" i="52" s="1"/>
  <c r="D45" i="78" l="1"/>
  <c r="H107" i="78"/>
  <c r="M48" i="78"/>
  <c r="H102" i="78"/>
  <c r="C105" i="78"/>
  <c r="F119" i="78"/>
  <c r="G118" i="78"/>
  <c r="E118" i="78" s="1"/>
  <c r="B7" i="74"/>
  <c r="D7" i="74" s="1"/>
  <c r="C78" i="78" l="1"/>
  <c r="C73" i="78" s="1"/>
  <c r="C93" i="78"/>
  <c r="C86" i="78" s="1"/>
  <c r="C72" i="78"/>
  <c r="C79" i="78" s="1"/>
  <c r="C80" i="78" s="1"/>
  <c r="E80" i="78" s="1"/>
  <c r="E81" i="78" s="1"/>
  <c r="D55" i="78"/>
  <c r="M53" i="78" s="1"/>
  <c r="D52" i="78"/>
  <c r="C85" i="78"/>
  <c r="C95" i="78" s="1"/>
  <c r="C96" i="78" s="1"/>
  <c r="E96" i="78" s="1"/>
  <c r="E97" i="78" s="1"/>
  <c r="C64" i="78"/>
  <c r="C63" i="78" s="1"/>
  <c r="C67" i="78" s="1"/>
  <c r="C68" i="78" s="1"/>
  <c r="D54" i="78" s="1"/>
  <c r="D53" i="78"/>
  <c r="D122" i="78"/>
  <c r="D123" i="78" s="1"/>
  <c r="H108" i="78"/>
  <c r="C81" i="78"/>
  <c r="C97" i="78"/>
  <c r="D58" i="78" s="1"/>
  <c r="D56" i="78" s="1"/>
  <c r="M54" i="78" s="1"/>
  <c r="N57" i="78" s="1"/>
  <c r="C7" i="74"/>
  <c r="N58" i="78" l="1"/>
  <c r="P57" i="78"/>
  <c r="N59" i="78"/>
  <c r="J7" i="33"/>
  <c r="W7" i="33" s="1"/>
  <c r="F7" i="33"/>
  <c r="S7" i="33" s="1"/>
  <c r="H7" i="33"/>
  <c r="AB7" i="33" s="1"/>
  <c r="T48" i="33" s="1"/>
  <c r="G48" i="33" s="1"/>
  <c r="N61" i="78" l="1"/>
  <c r="N60" i="78"/>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R48" i="39"/>
  <c r="E47" i="39"/>
  <c r="C32" i="9" l="1"/>
  <c r="S24" i="31"/>
  <c r="R25" i="31"/>
  <c r="S25" i="31" s="1"/>
  <c r="C48" i="39"/>
  <c r="C47" i="39"/>
  <c r="E51" i="39"/>
  <c r="F51" i="39" s="1"/>
  <c r="E52" i="39"/>
  <c r="F52" i="39" s="1"/>
  <c r="I52" i="39"/>
  <c r="J52" i="39" s="1"/>
  <c r="S22" i="31" l="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s="1"/>
  <c r="D34" i="9"/>
  <c r="H112" i="9" l="1"/>
  <c r="D21" i="53" s="1"/>
  <c r="B39" i="72" s="1"/>
  <c r="H111" i="9"/>
  <c r="D126" i="9" s="1"/>
  <c r="D59" i="9"/>
  <c r="M55" i="9" s="1"/>
  <c r="D19" i="53" l="1"/>
  <c r="B38" i="72" s="1"/>
  <c r="D20" i="53"/>
  <c r="B40" i="72" s="1"/>
  <c r="I14" i="74"/>
  <c r="B8" i="74" s="1"/>
  <c r="D127" i="9"/>
  <c r="D13" i="52" s="1"/>
  <c r="D12" i="52"/>
  <c r="D8" i="74" l="1"/>
  <c r="C8" i="74"/>
  <c r="H118" i="9" l="1"/>
  <c r="I118" i="9" s="1"/>
  <c r="C105" i="9" s="1"/>
  <c r="H102" i="9" l="1"/>
  <c r="D7" i="53" s="1"/>
  <c r="B21" i="72" s="1"/>
  <c r="I4" i="52"/>
  <c r="C104" i="9"/>
  <c r="H101" i="9"/>
  <c r="H119" i="9"/>
  <c r="H5" i="52" s="1"/>
  <c r="H4" i="52"/>
  <c r="D14" i="74"/>
  <c r="B5" i="74" l="1"/>
  <c r="E14" i="74"/>
  <c r="F14" i="74"/>
  <c r="M48" i="9"/>
  <c r="H107" i="9"/>
  <c r="D45" i="9"/>
  <c r="D5" i="53"/>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L68" i="9" l="1"/>
  <c r="M68" i="9" s="1"/>
  <c r="L63" i="9"/>
  <c r="M63" i="9" s="1"/>
  <c r="M69" i="9" s="1"/>
  <c r="N69" i="9" s="1"/>
  <c r="L64" i="9"/>
  <c r="M64" i="9" s="1"/>
  <c r="L66" i="9"/>
  <c r="M66" i="9" s="1"/>
  <c r="L65" i="9"/>
  <c r="M65" i="9" s="1"/>
  <c r="L67" i="9"/>
  <c r="M67" i="9" s="1"/>
  <c r="C79" i="9"/>
  <c r="C80" i="9" s="1"/>
  <c r="E80" i="9" s="1"/>
  <c r="E81" i="9" s="1"/>
  <c r="C95" i="9"/>
  <c r="C96" i="9" s="1"/>
  <c r="E96" i="9" s="1"/>
  <c r="E97" i="9" s="1"/>
  <c r="G14" i="74"/>
  <c r="B6" i="74" s="1"/>
  <c r="D8" i="52"/>
  <c r="D123" i="9"/>
  <c r="D9" i="52" s="1"/>
  <c r="D14" i="53"/>
  <c r="B32" i="72" s="1"/>
  <c r="B30" i="72"/>
  <c r="C97" i="9"/>
  <c r="D58" i="9" s="1"/>
  <c r="D56" i="9" s="1"/>
  <c r="M54" i="9" s="1"/>
  <c r="N57" i="9" s="1"/>
  <c r="P57" i="9" s="1"/>
  <c r="C81" i="9" l="1"/>
  <c r="D6" i="74"/>
  <c r="C6" i="74"/>
  <c r="N59" i="9"/>
  <c r="N60" i="9" s="1"/>
  <c r="N58" i="9"/>
  <c r="AD3" i="71"/>
  <c r="P21" i="43" s="1"/>
  <c r="N61" i="9" l="1"/>
  <c r="P22" i="43"/>
  <c r="P23" i="43"/>
  <c r="B71" i="39" s="1"/>
  <c r="P24" i="43"/>
  <c r="B66" i="40" s="1"/>
  <c r="P25" i="43"/>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<sst xmlns="http://schemas.openxmlformats.org/spreadsheetml/2006/main" count="8198" uniqueCount="3157">
  <si>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</si>
  <si>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</si>
  <si>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</si>
  <si>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</si>
  <si>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</si>
  <si>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</si>
  <si>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</si>
  <si>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</si>
  <si>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</si>
  <si>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</si>
  <si>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</si>
  <si>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</si>
  <si>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</si>
  <si>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</si>
  <si>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</si>
  <si>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</si>
  <si>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</si>
  <si>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</si>
  <si>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</si>
  <si>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</si>
  <si>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</si>
  <si>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</si>
  <si>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</si>
  <si>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</si>
  <si>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</si>
  <si>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</si>
  <si>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</si>
  <si>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</si>
  <si>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</si>
  <si>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</si>
  <si>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</si>
  <si>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</si>
  <si>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</si>
  <si>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</si>
  <si>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</si>
  <si>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</si>
  <si>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</si>
  <si>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</si>
  <si>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</si>
  <si>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</si>
  <si>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</si>
  <si>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</si>
  <si>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</si>
  <si>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</si>
  <si>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</si>
  <si>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</si>
  <si>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</si>
  <si>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</si>
  <si>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</si>
  <si>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</si>
  <si>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</si>
  <si>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</si>
  <si>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</si>
  <si>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</si>
  <si>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</si>
  <si>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</si>
  <si>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</si>
  <si>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</si>
  <si>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</si>
  <si>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</si>
  <si>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</si>
  <si>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</si>
  <si>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</si>
  <si>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</si>
  <si>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</si>
  <si>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</si>
  <si>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</si>
  <si>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</si>
  <si>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</si>
  <si>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</si>
  <si>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</si>
  <si>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</si>
  <si>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</si>
  <si>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</si>
  <si>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</si>
  <si>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</si>
  <si>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</si>
  <si>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</si>
  <si>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</si>
  <si>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</si>
  <si>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</si>
  <si>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</si>
  <si>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</si>
  <si>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</si>
  <si>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</si>
  <si>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</si>
  <si>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</si>
  <si>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</si>
  <si>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</si>
  <si>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</si>
  <si>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</si>
  <si>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</si>
  <si>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</si>
  <si>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</si>
  <si>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</si>
  <si>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</si>
  <si>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</si>
  <si>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</si>
  <si>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</si>
  <si>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</si>
  <si>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</si>
  <si>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</si>
  <si>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</si>
  <si>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</si>
  <si>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</si>
  <si>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</si>
  <si>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</si>
  <si>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</si>
  <si>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</si>
  <si>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</si>
  <si>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</si>
  <si>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</si>
  <si>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</si>
  <si>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</si>
  <si>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</si>
  <si>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</si>
  <si>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</si>
  <si>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</si>
  <si>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</si>
  <si>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</si>
  <si>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</si>
  <si>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</si>
  <si>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</si>
  <si>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</si>
  <si>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</si>
  <si>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</si>
  <si>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</si>
  <si>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</si>
  <si>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</si>
  <si>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</si>
  <si>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</si>
  <si>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</si>
  <si>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</si>
  <si>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</si>
  <si>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</si>
  <si>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</si>
  <si>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</si>
  <si>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</si>
  <si>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</si>
  <si>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</si>
  <si>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</si>
  <si>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</si>
  <si>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</si>
  <si>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</si>
  <si>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</si>
  <si>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</si>
  <si>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</si>
  <si>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</si>
  <si>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</si>
  <si>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</si>
  <si>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</si>
  <si>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</si>
  <si>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</si>
  <si>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</si>
  <si>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</si>
  <si>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</si>
  <si>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</si>
  <si>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</si>
  <si>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</si>
  <si>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</si>
  <si>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</si>
  <si>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</si>
  <si>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</si>
  <si>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</si>
  <si>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</si>
  <si>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</si>
  <si>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</si>
  <si>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</si>
  <si>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</si>
  <si>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</si>
  <si>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</si>
  <si>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</si>
  <si>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</si>
  <si>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</si>
  <si>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</si>
  <si>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</si>
  <si>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</si>
  <si>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</si>
  <si>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</si>
  <si>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</si>
  <si>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</si>
  <si>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</si>
  <si>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</si>
  <si>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</si>
  <si>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</si>
  <si>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</si>
  <si>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</si>
  <si>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</si>
  <si>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</si>
  <si>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</si>
  <si>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</si>
  <si>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</si>
  <si>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</si>
  <si>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</si>
  <si>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</si>
  <si>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</si>
  <si>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</si>
  <si>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</si>
  <si>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</si>
  <si>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</si>
  <si>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</si>
  <si>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</si>
  <si>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</si>
  <si>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</si>
  <si>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</si>
  <si>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</si>
  <si>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</si>
  <si>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</si>
  <si>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</si>
  <si>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</si>
  <si>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</si>
  <si>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</si>
  <si>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</si>
  <si>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</si>
  <si>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</si>
  <si>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</si>
  <si>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</si>
  <si>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</si>
  <si>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</si>
  <si>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</si>
  <si>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</si>
  <si>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</si>
  <si>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</si>
  <si>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</si>
  <si>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</si>
  <si>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</si>
  <si>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</si>
  <si>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</si>
  <si>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</si>
  <si>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</si>
  <si>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</si>
  <si>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</si>
  <si>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</si>
  <si>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</si>
  <si>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</si>
  <si>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</si>
  <si>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</si>
  <si>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</si>
  <si>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</si>
  <si>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</si>
  <si>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</si>
  <si>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</si>
  <si>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</si>
  <si>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</si>
  <si>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</si>
  <si>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</si>
  <si>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</si>
  <si>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</si>
  <si>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</si>
  <si>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</si>
  <si>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</si>
  <si>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</si>
  <si>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</si>
  <si>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</si>
  <si>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</si>
  <si>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</si>
  <si>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</si>
  <si>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</si>
  <si>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</si>
  <si>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</si>
  <si>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</si>
  <si>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</si>
  <si>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</si>
  <si>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</si>
  <si>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</si>
  <si>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</si>
  <si>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</si>
  <si>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</si>
  <si>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</si>
  <si>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</si>
  <si>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</si>
  <si>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</si>
  <si>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</si>
  <si>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</si>
  <si>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</si>
  <si>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</si>
  <si>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</si>
  <si>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</si>
  <si>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</si>
  <si>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</si>
  <si>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</si>
  <si>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</si>
  <si>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</si>
  <si>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</si>
  <si>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</si>
  <si>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</si>
  <si>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</si>
  <si>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</si>
  <si>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</si>
  <si>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</si>
  <si>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</si>
  <si>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</si>
  <si>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</si>
  <si>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</si>
  <si>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</si>
  <si>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</si>
  <si>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</si>
  <si>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</si>
  <si>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</si>
  <si>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</si>
  <si>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</si>
  <si>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</si>
  <si>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</si>
  <si>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</si>
  <si>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</si>
  <si>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</si>
  <si>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</si>
  <si>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</si>
  <si>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</si>
  <si>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</si>
  <si>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</si>
  <si>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</si>
  <si>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</si>
  <si>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</si>
  <si>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</si>
  <si>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</si>
  <si>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</si>
  <si>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</si>
  <si>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</si>
  <si>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</si>
  <si>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</si>
  <si>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</si>
  <si>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</si>
  <si>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</si>
  <si>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</si>
  <si>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</si>
  <si>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</si>
  <si>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</si>
  <si>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</si>
  <si>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</si>
  <si>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</si>
  <si>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</si>
  <si>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</si>
  <si>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</si>
  <si>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</si>
  <si>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</si>
  <si>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</si>
  <si>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</si>
  <si>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</si>
  <si>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</si>
  <si>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</si>
  <si>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</si>
  <si>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</si>
  <si>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</si>
  <si>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</si>
  <si>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</si>
  <si>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</si>
  <si>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</si>
  <si>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</si>
  <si>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</si>
  <si>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</si>
  <si>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</si>
  <si>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</si>
  <si>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</si>
  <si>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</si>
  <si>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</si>
  <si>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</si>
  <si>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</si>
  <si>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</si>
  <si>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</si>
  <si>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</si>
  <si>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</si>
  <si>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</si>
  <si>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</si>
  <si>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</si>
  <si>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</si>
  <si>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</si>
  <si>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</si>
  <si>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</si>
  <si>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</si>
  <si>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</si>
  <si>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</si>
  <si>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</si>
  <si>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</si>
  <si>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</si>
  <si>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</si>
  <si>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</si>
  <si>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</si>
  <si>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</si>
  <si>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</si>
  <si>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</si>
  <si>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</si>
  <si>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</si>
  <si>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</si>
  <si>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</si>
  <si>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</si>
  <si>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</si>
  <si>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</si>
  <si>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</si>
  <si>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</si>
  <si>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</si>
  <si>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</si>
  <si>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</si>
  <si>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</si>
  <si>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</si>
  <si>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</si>
  <si>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</si>
  <si>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</si>
  <si>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</si>
  <si>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</si>
  <si>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</si>
  <si>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</si>
  <si>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</si>
  <si>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</si>
  <si>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</si>
  <si>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</si>
  <si>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</si>
  <si>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</si>
  <si>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</si>
  <si>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</si>
  <si>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</si>
  <si>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</si>
  <si>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</si>
  <si>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</si>
  <si>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</si>
  <si>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</si>
  <si>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</si>
  <si>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</si>
  <si>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</si>
  <si>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</si>
  <si>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</si>
  <si>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</si>
  <si>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</si>
  <si>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</si>
  <si>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</si>
  <si>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</si>
  <si>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</si>
  <si>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</si>
  <si>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</si>
  <si>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</si>
  <si>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</si>
  <si>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</si>
  <si>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</si>
  <si>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</si>
  <si>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</si>
  <si>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</si>
  <si>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</si>
  <si>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</si>
  <si>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</si>
  <si>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</si>
  <si>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</si>
  <si>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</si>
  <si>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</si>
  <si>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</si>
  <si>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</si>
  <si>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</si>
  <si>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</si>
  <si>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</si>
  <si>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</si>
  <si>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</si>
  <si>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</si>
  <si>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</si>
  <si>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</si>
  <si>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</si>
  <si>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</si>
  <si>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</si>
  <si>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</si>
  <si>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</si>
  <si>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</si>
  <si>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</si>
  <si>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</si>
  <si>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</si>
  <si>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</si>
  <si>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</si>
  <si>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</si>
  <si>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</si>
  <si>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</si>
  <si>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</si>
  <si>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</si>
  <si>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</si>
  <si>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</si>
  <si>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</si>
  <si>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</si>
  <si>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</si>
  <si>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</si>
  <si>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</si>
  <si>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</si>
  <si>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</si>
  <si>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</si>
  <si>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</si>
  <si>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</si>
  <si>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</si>
  <si>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</si>
  <si>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</si>
  <si>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</si>
  <si>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</si>
  <si>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</si>
  <si>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</si>
  <si>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</si>
  <si>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</si>
  <si>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</si>
  <si>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</si>
  <si>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</si>
  <si>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</si>
  <si>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</si>
  <si>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</si>
  <si>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</si>
  <si>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</si>
  <si>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</si>
  <si>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</si>
  <si>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</si>
  <si>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</si>
  <si>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</si>
  <si>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</si>
  <si>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</si>
  <si>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</si>
  <si>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</si>
  <si>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</si>
  <si>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</si>
  <si>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</si>
  <si>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</si>
  <si>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</si>
  <si>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</si>
  <si>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</si>
  <si>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</si>
  <si>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</si>
  <si>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</si>
  <si>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</si>
  <si>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</si>
  <si>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</si>
  <si>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</si>
  <si>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</si>
  <si>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</si>
  <si>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</si>
  <si>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</si>
  <si>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</si>
  <si>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</si>
  <si>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</si>
  <si>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</si>
  <si>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</si>
  <si>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</si>
  <si>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</si>
  <si>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</si>
  <si>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</si>
  <si>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</si>
  <si>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</si>
  <si>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</si>
  <si>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</si>
  <si>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</si>
  <si>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</si>
  <si>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</si>
  <si>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</si>
  <si>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</si>
  <si>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</si>
  <si>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</si>
  <si>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</si>
  <si>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</si>
  <si>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</si>
  <si>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</si>
  <si>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</si>
  <si>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</si>
  <si>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</si>
  <si>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</si>
  <si>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</si>
  <si>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</si>
  <si>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</si>
  <si>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</si>
  <si>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</si>
  <si>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</si>
  <si>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</si>
  <si>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</si>
  <si>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</si>
  <si>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</si>
  <si>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</si>
  <si>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</si>
  <si>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</si>
  <si>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</si>
  <si>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</si>
  <si>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</si>
  <si>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</si>
  <si>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</si>
  <si>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</si>
  <si>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</si>
  <si>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</si>
  <si>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</si>
  <si>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</si>
  <si>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</si>
  <si>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</si>
  <si>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</si>
  <si>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</si>
  <si>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</si>
  <si>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</si>
  <si>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</si>
  <si>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</si>
  <si>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</si>
  <si>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</si>
  <si>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</si>
  <si>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</si>
  <si>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</si>
  <si>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</si>
  <si>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</si>
  <si>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</si>
  <si>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</si>
  <si>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</si>
  <si>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</si>
  <si>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</si>
  <si>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</si>
  <si>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</si>
  <si>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</si>
  <si>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</si>
  <si>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</si>
  <si>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</si>
  <si>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</si>
  <si>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</si>
  <si>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</si>
  <si>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</si>
  <si>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</si>
  <si>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</si>
  <si>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</si>
  <si>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</si>
  <si>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</si>
  <si>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</si>
  <si>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</si>
  <si>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</si>
  <si>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</si>
  <si>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</si>
  <si>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</si>
  <si>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</si>
  <si>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</si>
  <si>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</si>
  <si>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</si>
  <si>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</si>
  <si>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</si>
  <si>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</si>
  <si>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</si>
  <si>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</si>
  <si>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</si>
  <si>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</si>
  <si>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</si>
  <si>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</si>
  <si>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</si>
  <si>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</si>
  <si>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</si>
  <si>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</si>
  <si>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</si>
  <si>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</si>
  <si>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</si>
  <si>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</si>
  <si>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</si>
  <si>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</si>
  <si>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</si>
  <si>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</si>
  <si>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</si>
  <si>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</si>
  <si>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</si>
  <si>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</si>
  <si>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</si>
  <si>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</si>
  <si>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</si>
  <si>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</si>
  <si>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</si>
  <si>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</si>
  <si>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</si>
  <si>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</si>
  <si>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</si>
  <si>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</si>
  <si>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</si>
  <si>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</si>
  <si>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</si>
  <si>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</si>
  <si>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</si>
  <si>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</si>
  <si>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</si>
  <si>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</si>
  <si>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</si>
  <si>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</si>
  <si>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</si>
  <si>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</si>
  <si>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</si>
  <si>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</si>
  <si>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</si>
  <si>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</si>
  <si>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</si>
  <si>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</si>
  <si>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</si>
  <si>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</si>
  <si>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</si>
  <si>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</si>
  <si>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</si>
  <si>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</si>
  <si>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</si>
  <si>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</si>
  <si>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</si>
  <si>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</si>
  <si>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</si>
  <si>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</si>
  <si>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</si>
  <si>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</si>
  <si>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</si>
  <si>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</si>
  <si>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</si>
  <si>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</si>
  <si>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</si>
  <si>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</si>
  <si>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</si>
  <si>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</si>
  <si>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</si>
  <si>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</si>
  <si>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</si>
  <si>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</si>
  <si>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</si>
  <si>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</si>
  <si>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</si>
  <si>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</si>
  <si>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</si>
  <si>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</si>
  <si>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</si>
  <si>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</si>
  <si>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</si>
  <si>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</si>
  <si>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</si>
  <si>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</si>
  <si>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</si>
  <si>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</si>
  <si>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</si>
  <si>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</si>
  <si>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</si>
  <si>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</si>
  <si>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</si>
  <si>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</si>
  <si>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</si>
  <si>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</si>
  <si>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</si>
  <si>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</si>
  <si>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</si>
  <si>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</si>
  <si>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</si>
  <si>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</si>
  <si>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</si>
  <si>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</si>
  <si>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</si>
  <si>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</si>
  <si>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</si>
  <si>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</si>
  <si>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</si>
  <si>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</si>
  <si>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</si>
  <si>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</si>
  <si>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</si>
  <si>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</si>
  <si>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</si>
  <si>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</si>
  <si>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</si>
  <si>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</si>
  <si>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</si>
  <si>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</si>
  <si>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</si>
  <si>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</si>
  <si>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</si>
  <si>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</si>
  <si>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</si>
  <si>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</si>
  <si>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</si>
  <si>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</si>
  <si>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</si>
  <si>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</si>
  <si>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</si>
  <si>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</si>
  <si>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</si>
  <si>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</si>
  <si>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</si>
  <si>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</si>
  <si>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</si>
  <si>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</si>
  <si>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</si>
  <si>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</si>
  <si>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</si>
  <si>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</si>
  <si>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</si>
  <si>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</si>
  <si>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</si>
  <si>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</si>
  <si>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</si>
  <si>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</si>
  <si>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</si>
  <si>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</si>
  <si>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</si>
  <si>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</si>
  <si>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</si>
  <si>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</si>
  <si>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</si>
  <si>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</si>
  <si>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</si>
  <si>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</si>
  <si>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</si>
  <si>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</si>
  <si>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</si>
  <si>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</si>
  <si>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</si>
  <si>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</si>
  <si>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</si>
  <si>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</si>
  <si>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</si>
  <si>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</si>
  <si>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</si>
  <si>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</si>
  <si>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</si>
  <si>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</si>
  <si>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</si>
  <si>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</si>
  <si>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</si>
  <si>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</si>
  <si>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</si>
  <si>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</si>
  <si>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</si>
  <si>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</si>
  <si>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</si>
  <si>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</si>
  <si>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</si>
  <si>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</si>
  <si>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</si>
  <si>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</si>
  <si>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</si>
  <si>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</si>
  <si>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</si>
  <si>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</si>
  <si>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</si>
  <si>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</si>
  <si>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</si>
  <si>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</si>
  <si>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</si>
  <si>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</si>
  <si>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</si>
  <si>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</si>
  <si>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</si>
  <si>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</si>
  <si>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</si>
  <si>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</si>
  <si>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</si>
  <si>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</si>
  <si>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</si>
  <si>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</si>
  <si>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</si>
  <si>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</si>
  <si>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</si>
  <si>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</si>
  <si>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</si>
  <si>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</si>
  <si>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</si>
  <si>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</si>
  <si>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</si>
  <si>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</si>
  <si>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</si>
  <si>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</si>
  <si>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</si>
  <si>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</si>
  <si>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</si>
  <si>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</si>
  <si>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</si>
  <si>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</si>
  <si>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</si>
  <si>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</si>
  <si>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</si>
  <si>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</si>
  <si>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</si>
  <si>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</si>
  <si>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</si>
  <si>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</si>
  <si>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</si>
  <si>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</si>
  <si>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</si>
  <si>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</si>
  <si>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</si>
  <si>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</si>
  <si>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</si>
  <si>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</si>
  <si>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</si>
  <si>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</si>
  <si>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</si>
  <si>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</si>
  <si>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</si>
  <si>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</si>
  <si>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</si>
  <si>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</si>
  <si>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</si>
  <si>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</si>
  <si>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</si>
  <si>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</si>
  <si>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</si>
  <si>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</si>
  <si>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</si>
  <si>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</si>
  <si>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</si>
  <si>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</si>
  <si>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</si>
  <si>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</si>
  <si>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</si>
  <si>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</si>
  <si>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</si>
  <si>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</si>
  <si>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</si>
  <si>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</si>
  <si>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</si>
  <si>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</si>
  <si>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</si>
  <si>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</si>
  <si>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</si>
  <si>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</si>
  <si>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</si>
  <si>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</si>
  <si>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</si>
  <si>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</si>
  <si>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</si>
  <si>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</si>
  <si>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</si>
  <si>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</si>
  <si>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</si>
  <si>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</si>
  <si>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</si>
  <si>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</si>
  <si>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</si>
  <si>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</si>
  <si>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</si>
  <si>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</si>
  <si>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</si>
  <si>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</si>
  <si>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</si>
  <si>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</si>
  <si>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</si>
  <si>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</si>
  <si>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</si>
  <si>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</si>
  <si>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</si>
  <si>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</si>
  <si>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</si>
  <si>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</si>
  <si>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</si>
  <si>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</si>
  <si>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</si>
  <si>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</si>
  <si>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</si>
  <si>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</si>
  <si>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</si>
  <si>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</si>
  <si>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</si>
  <si>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</si>
  <si>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</si>
  <si>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</si>
  <si>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</si>
  <si>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</si>
  <si>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</si>
  <si>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</si>
  <si>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</si>
  <si>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</si>
  <si>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</si>
  <si>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</si>
  <si>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</si>
  <si>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</si>
  <si>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</si>
  <si>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</si>
  <si>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</si>
  <si>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</si>
  <si>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</si>
  <si>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</si>
  <si>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</si>
  <si>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</si>
  <si>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</si>
  <si>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</si>
  <si>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</si>
  <si>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</si>
  <si>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</si>
  <si>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</si>
  <si>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</si>
  <si>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</si>
  <si>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</si>
  <si>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</si>
  <si>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</si>
  <si>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</si>
  <si>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</si>
  <si>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</si>
  <si>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</si>
  <si>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</si>
  <si>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</si>
  <si>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</si>
  <si>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</si>
  <si>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</si>
  <si>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</si>
  <si>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</si>
  <si>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</si>
  <si>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</si>
  <si>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</si>
  <si>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</si>
  <si>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</si>
  <si>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</si>
  <si>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</si>
  <si>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</si>
  <si>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</si>
  <si>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</si>
  <si>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</si>
  <si>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</si>
  <si>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</si>
  <si>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</si>
  <si>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</si>
  <si>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</si>
  <si>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</si>
  <si>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</si>
  <si>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</si>
  <si>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</si>
  <si>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</si>
  <si>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</si>
  <si>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</si>
  <si>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</si>
  <si>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</si>
  <si>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</si>
  <si>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</si>
  <si>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</si>
  <si>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</si>
  <si>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</si>
  <si>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</si>
  <si>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</si>
  <si>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</si>
  <si>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</si>
  <si>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</si>
  <si>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</si>
  <si>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</si>
  <si>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</si>
  <si>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</si>
  <si>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</si>
  <si>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</si>
  <si>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</si>
  <si>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</si>
  <si>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</si>
  <si>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</si>
  <si>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</si>
  <si>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</si>
  <si>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</si>
  <si>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</si>
  <si>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</si>
  <si>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</si>
  <si>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</si>
  <si>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</si>
  <si>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</si>
  <si>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</si>
  <si>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</si>
  <si>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</si>
  <si>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</si>
  <si>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</si>
  <si>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</si>
  <si>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</si>
  <si>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</si>
  <si>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</si>
  <si>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</si>
  <si>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</si>
  <si>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</si>
  <si>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</si>
  <si>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</si>
  <si>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</si>
  <si>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</si>
  <si>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</si>
  <si>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</si>
  <si>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</si>
  <si>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</si>
  <si>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</si>
  <si>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</si>
  <si>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</si>
  <si>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</si>
  <si>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</si>
  <si>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</si>
  <si>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</si>
  <si>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</si>
  <si>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</si>
  <si>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</si>
  <si>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</si>
  <si>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</si>
  <si>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</si>
  <si>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</si>
  <si>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</si>
  <si>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</si>
  <si>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</si>
  <si>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</si>
  <si>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</si>
  <si>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</si>
  <si>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</si>
  <si>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</si>
  <si>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</si>
  <si>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</si>
  <si>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</si>
  <si>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</si>
  <si>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</si>
  <si>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</si>
  <si>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</si>
  <si>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</si>
  <si>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</si>
  <si>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</si>
  <si>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</si>
  <si>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</si>
  <si>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</si>
  <si>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</si>
  <si>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</si>
  <si>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</si>
  <si>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</si>
  <si>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</si>
  <si>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</si>
  <si>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</si>
  <si>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</si>
  <si>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</si>
  <si>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</si>
  <si>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</si>
  <si>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</si>
  <si>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</si>
  <si>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</si>
  <si>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</si>
  <si>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</si>
  <si>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</si>
  <si>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</si>
  <si>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</si>
  <si>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</si>
  <si>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</si>
  <si>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</si>
  <si>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</si>
  <si>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</si>
  <si>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</si>
  <si>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</si>
  <si>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</si>
  <si>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</si>
  <si>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</si>
  <si>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</si>
  <si>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</si>
  <si>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</si>
  <si>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</si>
  <si>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</si>
  <si>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</si>
  <si>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</si>
  <si>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</si>
  <si>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</si>
  <si>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</si>
  <si>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</si>
  <si>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</si>
  <si>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</si>
  <si>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</si>
  <si>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</si>
  <si>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</si>
  <si>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</si>
  <si>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</si>
  <si>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</si>
  <si>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</si>
  <si>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</si>
  <si>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</si>
  <si>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</si>
  <si>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</si>
  <si>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</si>
  <si>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</si>
  <si>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</si>
  <si>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</si>
  <si>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</si>
  <si>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</si>
  <si>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</si>
  <si>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</si>
  <si>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</si>
  <si>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</si>
  <si>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</si>
  <si>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</si>
  <si>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</si>
  <si>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</si>
  <si>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</si>
  <si>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</si>
  <si>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</si>
  <si>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</si>
  <si>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</si>
  <si>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</si>
  <si>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</si>
  <si>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</si>
  <si>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</si>
  <si>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</si>
  <si>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</si>
  <si>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</si>
  <si>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</si>
  <si>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</si>
  <si>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</si>
  <si>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</si>
  <si>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</si>
  <si>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</si>
  <si>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</si>
  <si>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</si>
  <si>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</si>
  <si>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</si>
  <si>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</si>
  <si>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</si>
  <si>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</si>
  <si>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</si>
  <si>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</si>
  <si>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</si>
  <si>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</si>
  <si>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</si>
  <si>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</si>
  <si>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</si>
  <si>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</si>
  <si>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</si>
  <si>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</si>
  <si>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</si>
  <si>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</si>
  <si>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</si>
  <si>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</si>
  <si>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</si>
  <si>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</si>
  <si>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</si>
  <si>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</si>
  <si>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</si>
  <si>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</si>
  <si>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</si>
  <si>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</si>
  <si>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</si>
  <si>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</si>
  <si>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</si>
  <si>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</si>
  <si>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</si>
  <si>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</si>
  <si>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</si>
  <si>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</si>
  <si>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</si>
  <si>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</si>
  <si>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</si>
  <si>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</si>
  <si>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</si>
  <si>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</si>
  <si>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</si>
  <si>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</si>
  <si>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</si>
  <si>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</si>
  <si>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</si>
  <si>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</si>
  <si>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</si>
  <si>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</si>
  <si>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</si>
  <si>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</si>
  <si>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</si>
  <si>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</si>
  <si>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</si>
  <si>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</si>
  <si>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</si>
  <si>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</si>
  <si>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</si>
  <si>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</si>
  <si>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</si>
  <si>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</si>
  <si>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</si>
  <si>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</si>
  <si>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</si>
  <si>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</si>
  <si>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</si>
  <si>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</si>
  <si>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</si>
  <si>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</si>
  <si>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</si>
  <si>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</si>
  <si>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</si>
  <si>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</si>
  <si>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</si>
  <si>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</si>
  <si>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</si>
  <si>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</si>
  <si>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</si>
  <si>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</si>
  <si>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</si>
  <si>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</si>
  <si>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</si>
  <si>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</si>
  <si>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</si>
  <si>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</si>
  <si>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</si>
  <si>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</si>
  <si>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</si>
  <si>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</si>
  <si>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</si>
  <si>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</si>
  <si>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</si>
  <si>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</si>
  <si>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</si>
  <si>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</si>
  <si>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</si>
  <si>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</si>
  <si>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</si>
  <si>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</si>
  <si>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</si>
  <si>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</si>
  <si>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</si>
  <si>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</si>
  <si>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</si>
  <si>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</si>
  <si>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</si>
  <si>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</si>
  <si>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</si>
  <si>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</si>
  <si>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</si>
  <si>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</si>
  <si>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</si>
  <si>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</si>
  <si>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</si>
  <si>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</si>
  <si>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</si>
  <si>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</si>
  <si>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</si>
  <si>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</si>
  <si>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</si>
  <si>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</si>
  <si>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</si>
  <si>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</si>
  <si>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</si>
  <si>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</si>
  <si>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</si>
  <si>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</si>
  <si>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</si>
  <si>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</si>
  <si>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</si>
  <si>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</si>
  <si>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</si>
  <si>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</si>
  <si>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</si>
  <si>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</si>
  <si>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</si>
  <si>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</si>
  <si>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</si>
  <si>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</si>
  <si>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</si>
  <si>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</si>
  <si>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</si>
  <si>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</si>
  <si>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</si>
  <si>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</si>
  <si>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</si>
  <si>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</si>
  <si>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</si>
  <si>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</si>
  <si>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</si>
  <si>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</si>
  <si>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</si>
  <si>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</si>
  <si>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</si>
  <si>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</si>
  <si>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</si>
  <si>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</si>
  <si>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</si>
  <si>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</si>
  <si>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</si>
  <si>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</si>
  <si>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</si>
  <si>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</si>
  <si>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</si>
  <si>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</si>
  <si>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</si>
  <si>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</si>
  <si>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</si>
  <si>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</si>
  <si>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</si>
  <si>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</si>
  <si>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</si>
  <si>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</si>
  <si>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</si>
  <si>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</si>
  <si>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</si>
  <si>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</si>
  <si>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</si>
  <si>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</si>
  <si>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</si>
  <si>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</si>
  <si>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</si>
  <si>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</si>
  <si>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</si>
  <si>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</si>
  <si>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</si>
  <si>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</si>
  <si>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</si>
  <si>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</si>
  <si>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</si>
  <si>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</si>
  <si>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</si>
  <si>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</si>
  <si>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</si>
  <si>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</si>
  <si>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</si>
  <si>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</si>
  <si>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</si>
  <si>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</si>
  <si>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</si>
  <si>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</si>
  <si>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</si>
  <si>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</si>
  <si>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</si>
  <si>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</si>
  <si>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</si>
  <si>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</si>
  <si>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</si>
  <si>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</si>
  <si>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</si>
  <si>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</si>
  <si>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</si>
  <si>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</si>
  <si>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</si>
  <si>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</si>
  <si>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</si>
  <si>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</si>
  <si>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</si>
  <si>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</si>
  <si>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</si>
  <si>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</si>
  <si>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</si>
  <si>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</si>
  <si>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</si>
  <si>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</si>
  <si>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</si>
  <si>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</si>
  <si>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</si>
  <si>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</si>
  <si>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</si>
  <si>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</si>
  <si>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</si>
  <si>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</si>
  <si>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</si>
  <si>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</si>
  <si>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</si>
  <si>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</si>
  <si>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</si>
  <si>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</si>
  <si>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</si>
  <si>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</si>
  <si>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</si>
  <si>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</si>
  <si>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</si>
  <si>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</si>
  <si>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</si>
  <si>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</si>
  <si>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</si>
  <si>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</si>
  <si>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</si>
  <si>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</si>
  <si>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</si>
  <si>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</si>
  <si>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</si>
  <si>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</si>
  <si>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</si>
  <si>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</si>
  <si>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</si>
  <si>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</si>
  <si>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</si>
  <si>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</si>
  <si>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</si>
  <si>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</si>
  <si>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</si>
  <si>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</si>
  <si>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</si>
  <si>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</si>
  <si>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</si>
  <si>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</si>
  <si>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</si>
  <si>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</si>
  <si>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</si>
  <si>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</si>
  <si>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</si>
  <si>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</si>
  <si>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</si>
  <si>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</si>
  <si>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</si>
  <si>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</si>
  <si>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</si>
  <si>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</si>
  <si>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</si>
  <si>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</si>
  <si>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</si>
  <si>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</si>
  <si>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</si>
  <si>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</si>
  <si>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</si>
  <si>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</si>
  <si>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</si>
  <si>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</si>
  <si>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</si>
  <si>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</si>
  <si>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</si>
  <si>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</si>
  <si>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</si>
  <si>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</si>
  <si>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</si>
  <si>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</si>
  <si>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</si>
  <si>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</si>
  <si>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</si>
  <si>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</si>
  <si>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</si>
  <si>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</si>
  <si>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</si>
  <si>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</si>
  <si>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</si>
  <si>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</si>
  <si>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</si>
  <si>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</si>
  <si>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</si>
  <si>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</si>
  <si>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</si>
  <si>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</si>
  <si>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</si>
  <si>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</si>
  <si>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</si>
  <si>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</si>
  <si>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</si>
  <si>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</si>
  <si>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</si>
  <si>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</si>
  <si>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</si>
  <si>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</si>
  <si>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</si>
  <si>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</si>
  <si>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</si>
  <si>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</si>
  <si>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</si>
  <si>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</si>
  <si>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</si>
  <si>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</si>
  <si>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</si>
  <si>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</si>
  <si>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</si>
  <si>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</si>
  <si>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</si>
  <si>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</si>
  <si>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</si>
  <si>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</si>
  <si>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</si>
  <si>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</si>
  <si>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</si>
  <si>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</si>
  <si>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</si>
  <si>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</si>
  <si>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</si>
  <si>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</si>
  <si>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</si>
  <si>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</si>
  <si>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</si>
  <si>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</si>
  <si>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</si>
  <si>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</si>
  <si>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</si>
  <si>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</si>
  <si>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</si>
  <si>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</si>
  <si>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</si>
  <si>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</si>
  <si>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</si>
  <si>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</si>
  <si>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</si>
  <si>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</si>
  <si>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</si>
  <si>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</si>
  <si>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</si>
  <si>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</si>
  <si>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</si>
  <si>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</si>
  <si>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</si>
  <si>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</si>
  <si>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</si>
  <si>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</si>
  <si>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</si>
  <si>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</si>
  <si>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</si>
  <si>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</si>
  <si>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</si>
  <si>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</si>
  <si>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</si>
  <si>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</si>
  <si>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</si>
  <si>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</si>
  <si>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</si>
  <si>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</si>
  <si>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</si>
  <si>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</si>
  <si>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</si>
  <si>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</si>
  <si>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</si>
  <si>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</si>
  <si>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</si>
  <si>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</si>
  <si>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</si>
  <si>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</si>
  <si>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</si>
  <si>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</si>
  <si>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</si>
  <si>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</si>
  <si>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</si>
  <si>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</si>
  <si>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</si>
  <si>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</si>
  <si>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</si>
  <si>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</si>
  <si>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</si>
  <si>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</si>
  <si>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</si>
  <si>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</si>
  <si>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</si>
  <si>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</si>
  <si>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</si>
  <si>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</si>
  <si>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</si>
  <si>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</si>
  <si>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</si>
  <si>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</si>
  <si>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</si>
  <si>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</si>
  <si>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</si>
  <si>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</si>
  <si>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</si>
  <si>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</si>
  <si>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</si>
  <si>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</si>
  <si>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</si>
  <si>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</si>
  <si>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</si>
  <si>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</si>
  <si>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</si>
  <si>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</si>
  <si>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</si>
  <si>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</si>
  <si>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</si>
  <si>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</si>
  <si>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</si>
  <si>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</si>
  <si>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</si>
  <si>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</si>
  <si>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</si>
  <si>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</si>
  <si>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</si>
  <si>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</si>
  <si>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</si>
  <si>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</si>
  <si>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</si>
  <si>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</si>
  <si>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</si>
  <si>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</si>
  <si>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</si>
  <si>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</si>
  <si>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</si>
  <si>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</si>
  <si>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</si>
  <si>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</si>
  <si>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</si>
  <si>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</si>
  <si>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</si>
  <si>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</si>
  <si>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</si>
  <si>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</si>
  <si>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</si>
  <si>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</si>
  <si>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</si>
  <si>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</si>
  <si>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</si>
  <si>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</si>
  <si>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</si>
  <si>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</si>
  <si>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</si>
  <si>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</si>
  <si>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</si>
  <si>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</si>
  <si>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</si>
  <si>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</si>
  <si>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</si>
  <si>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</si>
  <si>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</si>
  <si>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</si>
  <si>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</si>
  <si>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</si>
  <si>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</si>
  <si>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</si>
  <si>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</si>
  <si>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</si>
  <si>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</si>
  <si>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</si>
  <si>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</si>
  <si>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</si>
  <si>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</si>
  <si>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</si>
  <si>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</si>
  <si>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</si>
  <si>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</si>
  <si>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</si>
  <si>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</si>
  <si>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</si>
  <si>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</si>
  <si>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</si>
  <si>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</si>
  <si>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</si>
  <si>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</si>
  <si>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</si>
  <si>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</si>
  <si>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</si>
  <si>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</si>
  <si>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</si>
  <si>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</si>
  <si>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</si>
  <si>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</si>
  <si>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</si>
  <si>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</si>
  <si>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</si>
  <si>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</si>
  <si>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</si>
  <si>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</si>
  <si>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</si>
  <si>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</si>
  <si>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</si>
  <si>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</si>
  <si>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</si>
  <si>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</si>
  <si>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</si>
  <si>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</si>
  <si>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</si>
  <si>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</si>
  <si>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</si>
  <si>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</si>
  <si>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</si>
  <si>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</si>
  <si>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</si>
  <si>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</si>
  <si>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</si>
  <si>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</si>
  <si>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</si>
  <si>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</si>
  <si>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</si>
  <si>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</si>
  <si>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</si>
  <si>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</si>
  <si>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</si>
  <si>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</si>
  <si>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</si>
  <si>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</si>
  <si>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</si>
  <si>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</si>
  <si>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</si>
  <si>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</si>
  <si>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</si>
  <si>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</si>
  <si>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</si>
  <si>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</si>
  <si>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</si>
  <si>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</si>
  <si>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</si>
  <si>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</si>
  <si>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</si>
  <si>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</si>
  <si>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</si>
  <si>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</si>
  <si>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</si>
  <si>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</si>
  <si>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</si>
  <si>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</si>
  <si>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</si>
  <si>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</si>
  <si>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</si>
  <si>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</si>
  <si>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</si>
  <si>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</si>
  <si>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</si>
  <si>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</si>
  <si>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</si>
  <si>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</si>
  <si>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</si>
  <si>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</si>
  <si>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</si>
  <si>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</si>
  <si>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</si>
  <si>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</si>
  <si>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</si>
  <si>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</si>
  <si>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</si>
  <si>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</si>
  <si>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</si>
  <si>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</si>
  <si>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</si>
  <si>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</si>
  <si>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</si>
  <si>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</si>
  <si>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</si>
  <si>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</si>
  <si>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</si>
  <si>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</si>
  <si>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</si>
  <si>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</si>
  <si>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</si>
  <si>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</si>
  <si>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</si>
  <si>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</si>
  <si>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</si>
  <si>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</si>
  <si>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</si>
  <si>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</si>
  <si>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</si>
  <si>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</si>
  <si>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</si>
  <si>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</si>
  <si>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</si>
  <si>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</si>
  <si>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</si>
  <si>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</si>
  <si>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</si>
  <si>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</si>
  <si>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</si>
  <si>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</si>
  <si>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</si>
  <si>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</si>
  <si>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</si>
  <si>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</si>
  <si>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</si>
  <si>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</si>
  <si>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</si>
  <si>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</si>
  <si>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</si>
  <si>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</si>
  <si>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</si>
  <si>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</si>
  <si>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</si>
  <si>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</si>
  <si>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</si>
  <si>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</si>
  <si>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</si>
  <si>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</si>
  <si>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</si>
  <si>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</si>
  <si>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</si>
  <si>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</si>
  <si>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</si>
  <si>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</si>
  <si>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</si>
  <si>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</si>
  <si>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</si>
  <si>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</si>
  <si>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</si>
  <si>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</si>
  <si>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</si>
  <si>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</si>
  <si>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</si>
  <si>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</si>
  <si>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</si>
  <si>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</si>
  <si>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</si>
  <si>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</si>
  <si>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</si>
  <si>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</si>
  <si>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</si>
  <si>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</si>
  <si>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</si>
  <si>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</si>
  <si>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</si>
  <si>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</si>
  <si>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</si>
  <si>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</si>
  <si>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</si>
  <si>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</si>
  <si>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</si>
  <si>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</si>
  <si>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</si>
  <si>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</si>
  <si>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</si>
  <si>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</si>
  <si>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</si>
  <si>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</si>
  <si>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</si>
  <si>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</si>
  <si>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</si>
  <si>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</si>
  <si>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</si>
  <si>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</si>
  <si>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</si>
  <si>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</si>
  <si>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</si>
  <si>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</si>
  <si>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</si>
  <si>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</si>
  <si>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</si>
  <si>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</si>
  <si>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</si>
  <si>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</si>
  <si>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</si>
  <si>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</si>
  <si>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</si>
  <si>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</si>
  <si>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</si>
  <si>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</si>
  <si>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</si>
  <si>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</si>
  <si>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</si>
  <si>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</si>
  <si>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</si>
  <si>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</si>
  <si>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</si>
  <si>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</si>
  <si>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</si>
  <si>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</si>
  <si>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</si>
  <si>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</si>
  <si>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</si>
  <si>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</si>
  <si>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</si>
  <si>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</si>
  <si>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</si>
  <si>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</si>
  <si>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</si>
  <si>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</si>
  <si>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</si>
  <si>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</si>
  <si>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</si>
  <si>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</si>
  <si>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</si>
  <si>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</si>
  <si>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</si>
  <si>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</si>
  <si>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</si>
  <si>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</si>
  <si>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</si>
  <si>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</si>
  <si>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</si>
  <si>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</si>
  <si>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</si>
  <si>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</si>
  <si>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</si>
  <si>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</si>
  <si>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</si>
  <si>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</si>
  <si>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</si>
  <si>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</si>
  <si>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</si>
  <si>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</si>
  <si>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</si>
  <si>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</si>
  <si>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</si>
  <si>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</si>
  <si>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</si>
  <si>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</si>
  <si>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</si>
  <si>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</si>
  <si>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</si>
  <si>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</si>
  <si>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</si>
  <si>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</si>
  <si>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</si>
  <si>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</si>
  <si>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</si>
  <si>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</si>
  <si>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</si>
  <si>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</si>
  <si>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</si>
  <si>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</si>
  <si>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</si>
  <si>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</si>
  <si>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</si>
  <si>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</si>
  <si>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</si>
  <si>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</si>
  <si>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</si>
  <si>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</si>
  <si>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</si>
  <si>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</si>
  <si>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</si>
  <si>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</si>
  <si>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</si>
  <si>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</si>
  <si>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</si>
  <si>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</si>
  <si>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</si>
  <si>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</si>
  <si>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</si>
  <si>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</si>
  <si>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</si>
  <si>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</si>
  <si>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</si>
  <si>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</si>
  <si>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</si>
  <si>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</si>
  <si>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</si>
  <si>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</si>
  <si>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</si>
  <si>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</si>
  <si>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</si>
  <si>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</si>
  <si>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</si>
  <si>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</si>
  <si>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</si>
  <si>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</si>
  <si>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</si>
  <si>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</si>
  <si>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</si>
  <si>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</si>
  <si>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</si>
  <si>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</si>
  <si>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</si>
  <si>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</si>
  <si>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</si>
  <si>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</si>
  <si>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</si>
  <si>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</si>
  <si>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</si>
  <si>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</si>
  <si>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</si>
  <si>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</si>
  <si>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</si>
  <si>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</si>
  <si>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</si>
  <si>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</si>
  <si>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</si>
  <si>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</si>
  <si>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</si>
  <si>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</si>
  <si>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</si>
  <si>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</si>
  <si>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</si>
  <si>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</si>
  <si>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</si>
  <si>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</si>
  <si>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</si>
  <si>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</si>
  <si>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</si>
  <si>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</si>
  <si>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</si>
  <si>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</si>
  <si>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</si>
  <si>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</si>
  <si>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</si>
  <si>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</si>
  <si>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</si>
  <si>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</si>
  <si>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</si>
  <si>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</si>
  <si>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</si>
  <si>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</si>
  <si>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</si>
  <si>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</si>
  <si>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</si>
  <si>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</si>
  <si>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</si>
  <si>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</si>
  <si>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</si>
  <si>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</si>
  <si>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</si>
  <si>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</si>
  <si>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</si>
  <si>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</si>
  <si>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</si>
  <si>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</si>
  <si>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</si>
  <si>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</si>
  <si>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</si>
  <si>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</si>
  <si>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</si>
  <si>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</si>
  <si>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</si>
  <si>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</si>
  <si>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</si>
  <si>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</si>
  <si>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</si>
  <si>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</si>
  <si>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</si>
  <si>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</si>
  <si>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</si>
  <si>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</si>
  <si>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</si>
  <si>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</si>
  <si>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</si>
  <si>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</si>
  <si>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</si>
  <si>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</si>
  <si>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</si>
  <si>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</si>
  <si>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</si>
  <si>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</si>
  <si>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</si>
  <si>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</si>
  <si>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</si>
  <si>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</si>
  <si>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</si>
  <si>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</si>
  <si>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</si>
  <si>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</si>
  <si>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</si>
  <si>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</si>
  <si>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</si>
  <si>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</si>
  <si>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</si>
  <si>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</si>
  <si>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</si>
  <si>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</si>
  <si>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</si>
  <si>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</si>
  <si>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</si>
  <si>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</si>
  <si>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</si>
  <si>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</si>
  <si>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</si>
  <si>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</si>
  <si>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</si>
  <si>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</si>
  <si>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</si>
  <si>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</si>
  <si>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</si>
  <si>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</si>
  <si>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</si>
  <si>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</si>
  <si>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</si>
  <si>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</si>
  <si>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</si>
  <si>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</si>
  <si>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</si>
  <si>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</si>
  <si>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</si>
  <si>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</si>
  <si>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</si>
  <si>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</si>
  <si>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</si>
  <si>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</si>
  <si>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</si>
  <si>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</si>
  <si>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</si>
  <si>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</si>
  <si>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</si>
  <si>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</si>
  <si>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</si>
  <si>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</si>
  <si>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</si>
  <si>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</si>
  <si>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</si>
  <si>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</si>
  <si>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</si>
  <si>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</si>
  <si>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</si>
  <si>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</si>
  <si>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</si>
  <si>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</si>
  <si>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</si>
  <si>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</si>
  <si>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</si>
  <si>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</si>
  <si>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</si>
  <si>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</si>
  <si>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</si>
  <si>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</si>
  <si>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</si>
  <si>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</si>
  <si>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</si>
  <si>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</si>
  <si>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</si>
  <si>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</si>
  <si>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</si>
  <si>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</si>
  <si>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</si>
  <si>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</si>
  <si>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</si>
  <si>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</si>
  <si>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</si>
  <si>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</si>
  <si>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</si>
  <si>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</si>
  <si>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</si>
  <si>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</si>
  <si>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</si>
  <si>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</si>
  <si>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</si>
  <si>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</si>
  <si>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</si>
  <si>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</si>
  <si>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</si>
  <si>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</si>
  <si>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</si>
  <si>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</si>
  <si>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</si>
  <si>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</si>
  <si>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</si>
  <si>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</si>
  <si>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</si>
  <si>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</si>
  <si>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</si>
  <si>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</si>
  <si>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</si>
  <si>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</si>
  <si>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</si>
  <si>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</si>
  <si>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</si>
  <si>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</si>
  <si>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</si>
  <si>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</si>
  <si>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</si>
  <si>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</si>
  <si>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</si>
  <si>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</si>
  <si>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</si>
  <si>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</si>
  <si>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</si>
  <si>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</si>
  <si>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</si>
  <si>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</si>
  <si>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</si>
  <si>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</si>
  <si>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</si>
  <si>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</si>
  <si>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</si>
  <si>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</si>
  <si>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</si>
  <si>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</si>
  <si>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</si>
  <si>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</si>
  <si>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</si>
  <si>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</si>
  <si>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</si>
  <si>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</si>
  <si>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</si>
  <si>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</si>
  <si>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</si>
  <si>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</si>
  <si>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</si>
  <si>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</si>
  <si>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</si>
  <si>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</si>
  <si>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</si>
  <si>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</si>
  <si>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</si>
  <si>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</si>
  <si>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</si>
  <si>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</si>
  <si>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</si>
  <si>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</si>
  <si>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</si>
  <si>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</si>
  <si>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</si>
  <si>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</si>
  <si>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</si>
  <si>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</si>
  <si>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</si>
  <si>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</si>
  <si>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</si>
  <si>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</si>
  <si>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</si>
  <si>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</si>
  <si>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</si>
  <si>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</si>
  <si>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</si>
  <si>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</si>
  <si>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</si>
  <si>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</si>
  <si>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</si>
  <si>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</si>
  <si>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</si>
  <si>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</si>
  <si>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</si>
  <si>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</si>
  <si>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</si>
  <si>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</si>
  <si>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</si>
  <si>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</si>
  <si>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</si>
  <si>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</si>
  <si>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</si>
  <si>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</si>
  <si>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</si>
  <si>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</si>
  <si>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</si>
  <si>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</si>
  <si>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</si>
  <si>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</si>
  <si>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</si>
  <si>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</si>
  <si>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</si>
  <si>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</si>
  <si>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</si>
  <si>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</si>
  <si>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</si>
  <si>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</si>
  <si>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</si>
  <si>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</si>
  <si>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</si>
  <si>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</si>
  <si>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</si>
  <si>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</si>
  <si>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</si>
  <si>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</si>
  <si>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</si>
  <si>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</si>
  <si>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</si>
  <si>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</si>
  <si>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</si>
  <si>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</si>
  <si>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</si>
  <si>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</si>
  <si>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</si>
  <si>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</si>
  <si>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</si>
  <si>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</si>
  <si>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</si>
  <si>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</si>
  <si>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</si>
  <si>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</si>
  <si>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</si>
  <si>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</si>
  <si>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</si>
  <si>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</si>
  <si>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</si>
  <si>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</si>
  <si>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</si>
  <si>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</si>
  <si>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</si>
  <si>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</si>
  <si>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</si>
  <si>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</si>
  <si>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</si>
  <si>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</si>
  <si>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</si>
  <si>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</si>
  <si>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</si>
  <si>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</si>
  <si>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</si>
  <si>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</si>
  <si>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</si>
  <si>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</si>
  <si>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</si>
  <si>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</si>
  <si>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</si>
  <si>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</si>
  <si>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</si>
  <si>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</si>
  <si>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</si>
  <si>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</si>
  <si>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</si>
  <si>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</si>
  <si>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</si>
  <si>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</si>
  <si>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</si>
  <si>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</si>
  <si>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</si>
  <si>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</si>
  <si>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</si>
  <si>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</si>
  <si>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</si>
  <si>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</si>
  <si>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</si>
  <si>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</si>
  <si>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</si>
  <si>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</si>
  <si>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</si>
  <si>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</si>
  <si>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</si>
  <si>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</si>
  <si>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</si>
  <si>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</si>
  <si>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</si>
  <si>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</si>
  <si>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</si>
  <si>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</si>
  <si>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</si>
  <si>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</si>
  <si>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</si>
  <si>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</si>
  <si>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</si>
  <si>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</si>
  <si>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</si>
  <si>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</si>
  <si>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</si>
  <si>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</si>
  <si>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</si>
  <si>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</si>
  <si>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</si>
  <si>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</si>
  <si>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</si>
  <si>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</si>
  <si>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</si>
  <si>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</si>
  <si>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</si>
  <si>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</si>
  <si>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</si>
  <si>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</si>
  <si>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</si>
  <si>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</si>
  <si>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</si>
  <si>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</si>
  <si>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</si>
  <si>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</si>
  <si>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</si>
  <si>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</si>
  <si>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</si>
  <si>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</si>
  <si>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</si>
  <si>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</si>
  <si>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</si>
  <si>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</si>
  <si>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</si>
  <si>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</si>
  <si>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</si>
  <si>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</si>
  <si>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</si>
  <si>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</si>
  <si>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</si>
  <si>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</si>
  <si>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</si>
  <si>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</si>
  <si>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</si>
  <si>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</si>
  <si>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</si>
  <si>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</si>
  <si>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</si>
  <si>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</si>
  <si>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</si>
  <si>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</si>
  <si>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</si>
  <si>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</si>
  <si>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</si>
  <si>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</si>
  <si>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</si>
  <si>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</si>
  <si>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</si>
  <si>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</si>
  <si>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</si>
  <si>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</si>
  <si>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</si>
  <si>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</si>
  <si>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</si>
  <si>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</si>
  <si>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</si>
  <si>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</si>
  <si>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</si>
  <si>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</si>
  <si>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</si>
  <si>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</si>
  <si>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</si>
  <si>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</si>
  <si>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</si>
  <si>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</si>
  <si>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</si>
  <si>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</si>
  <si>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</si>
  <si>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</si>
  <si>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</si>
  <si>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</si>
  <si>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</si>
  <si>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</si>
  <si>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</si>
  <si>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</si>
  <si>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</si>
  <si>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</si>
  <si>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</si>
  <si>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</si>
  <si>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</si>
  <si>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</si>
  <si>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</si>
  <si>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</si>
  <si>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</si>
  <si>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</si>
  <si>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</si>
  <si>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</si>
  <si>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</si>
  <si>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</si>
  <si>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</si>
  <si>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</si>
  <si>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</si>
  <si>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</si>
  <si>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</si>
  <si>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</si>
  <si>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</si>
  <si>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</si>
  <si>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</si>
  <si>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</si>
  <si>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</si>
  <si>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</si>
  <si>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</si>
  <si>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</si>
  <si>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</si>
  <si>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</si>
  <si>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</si>
  <si>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</si>
  <si>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</si>
  <si>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</si>
  <si>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</si>
  <si>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</si>
  <si>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</si>
  <si>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</si>
  <si>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</si>
  <si>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</si>
  <si>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</si>
  <si>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</si>
  <si>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</si>
  <si>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</si>
  <si>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</si>
  <si>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</si>
  <si>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</si>
  <si>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</si>
  <si>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</si>
  <si>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</si>
  <si>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</si>
  <si>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</si>
  <si>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</si>
  <si>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</si>
  <si>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</si>
  <si>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</si>
  <si>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</si>
  <si>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</si>
  <si>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</si>
  <si>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</si>
  <si>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</si>
  <si>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</si>
  <si>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</si>
  <si>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</si>
  <si>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</si>
  <si>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</si>
  <si>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</si>
  <si>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</si>
  <si>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</si>
  <si>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</si>
  <si>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</si>
  <si>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</si>
  <si>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</si>
  <si>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</si>
  <si>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</si>
  <si>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</si>
  <si>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</si>
  <si>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</si>
  <si>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</si>
  <si>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</si>
  <si>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</si>
  <si>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</si>
  <si>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</si>
  <si>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</si>
  <si>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</si>
  <si>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</si>
  <si>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</si>
  <si>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</si>
  <si>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</si>
  <si>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</si>
  <si>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</si>
  <si>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</si>
  <si>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</si>
  <si>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</si>
  <si>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</si>
  <si>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</si>
  <si>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</si>
  <si>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</si>
  <si>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</si>
  <si>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</si>
  <si>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</si>
  <si>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</si>
  <si>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</si>
  <si>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</si>
  <si>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</si>
  <si>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</si>
  <si>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</si>
  <si>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</si>
  <si>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</si>
  <si>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</si>
  <si>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</si>
  <si>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</si>
  <si>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</si>
  <si>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</si>
  <si>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</si>
  <si>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</si>
  <si>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</si>
  <si>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</si>
  <si>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</si>
  <si>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</si>
  <si>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</si>
  <si>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</si>
  <si>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</si>
  <si>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</si>
  <si>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</si>
  <si>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</si>
  <si>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</si>
  <si>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</si>
  <si>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</si>
  <si>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</si>
  <si>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</si>
  <si>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</si>
  <si>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</si>
  <si>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</si>
  <si>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</si>
  <si>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</si>
  <si>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</si>
  <si>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</si>
  <si>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</si>
  <si>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</si>
  <si>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</si>
  <si>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</si>
  <si>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</si>
  <si>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</si>
  <si>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</si>
  <si>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</si>
  <si>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</si>
  <si>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</si>
  <si>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</si>
  <si>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</si>
  <si>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</si>
  <si>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</si>
  <si>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</si>
  <si>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</si>
  <si>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</si>
  <si>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</si>
  <si>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</si>
  <si>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</si>
  <si>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</si>
  <si>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</si>
  <si>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</si>
  <si>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</si>
  <si>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</si>
  <si>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</si>
  <si>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</si>
  <si>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</si>
  <si>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</si>
  <si>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</si>
  <si>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</si>
  <si>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</si>
  <si>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</si>
  <si>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</si>
  <si>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</si>
  <si>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</si>
  <si>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</si>
  <si>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</si>
  <si>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</si>
  <si>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</si>
  <si>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</si>
  <si>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</si>
  <si>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</si>
  <si>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</si>
  <si>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</si>
  <si>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</si>
  <si>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</si>
  <si>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</si>
  <si>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</si>
  <si>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</si>
  <si>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</si>
  <si>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</si>
  <si>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</si>
  <si>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</si>
  <si>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</si>
  <si>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</si>
  <si>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</si>
  <si>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</si>
  <si>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</si>
  <si>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</si>
  <si>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</si>
  <si>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</si>
  <si>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</si>
  <si>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</si>
  <si>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</si>
  <si>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</si>
  <si>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</si>
  <si>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</si>
  <si>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</si>
  <si>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</si>
  <si>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</si>
  <si>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</si>
  <si>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</si>
  <si>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</si>
  <si>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</si>
  <si>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</si>
  <si>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</si>
  <si>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</si>
  <si>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</si>
  <si>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</si>
  <si>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</si>
  <si>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</si>
  <si>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</si>
  <si>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</si>
  <si>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</si>
  <si>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</si>
  <si>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</si>
  <si>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</si>
  <si>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</si>
  <si>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</si>
  <si>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</si>
  <si>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</si>
  <si>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</si>
  <si>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</si>
  <si>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</si>
  <si>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</si>
  <si>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</si>
  <si>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</si>
  <si>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</si>
  <si>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</si>
  <si>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</si>
  <si>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</si>
  <si>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</si>
  <si>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</si>
  <si>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</si>
  <si>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</si>
  <si>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</si>
  <si>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</si>
  <si>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</si>
  <si>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</si>
  <si>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</si>
  <si>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</si>
  <si>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</si>
  <si>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</si>
  <si>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</si>
  <si>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</si>
  <si>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</si>
  <si>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</si>
  <si>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</si>
  <si>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</si>
  <si>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</si>
  <si>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</si>
  <si>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</si>
  <si>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</si>
  <si>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</si>
  <si>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</si>
  <si>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</si>
  <si>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</si>
  <si>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</si>
  <si>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</si>
  <si>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</si>
  <si>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</si>
  <si>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</si>
  <si>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</si>
  <si>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</si>
  <si>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</si>
  <si>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</si>
  <si>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</si>
  <si>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</si>
  <si>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</si>
  <si>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</si>
  <si>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</si>
  <si>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</si>
  <si>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</si>
  <si>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</si>
  <si>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</si>
  <si>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</si>
  <si>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</si>
  <si>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</si>
  <si>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</si>
  <si>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</si>
  <si>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</si>
  <si>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</si>
  <si>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</si>
  <si>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</si>
  <si>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</si>
  <si>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</si>
  <si>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</si>
  <si>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</si>
  <si>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</si>
  <si>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</si>
  <si>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</si>
  <si>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</si>
  <si>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</si>
  <si>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</si>
  <si>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</si>
  <si>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</si>
  <si>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</si>
  <si>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</si>
  <si>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</si>
  <si>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</si>
  <si>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</si>
  <si>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</si>
  <si>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</si>
  <si>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</si>
  <si>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</si>
  <si>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</si>
  <si>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</si>
  <si>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</si>
  <si>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</si>
  <si>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</si>
  <si>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</si>
  <si>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</si>
  <si>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</si>
  <si>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</si>
  <si>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</si>
  <si>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</si>
  <si>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</si>
  <si>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</si>
  <si>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</si>
  <si>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</si>
  <si>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</si>
  <si>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</si>
  <si>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</si>
  <si>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</si>
  <si>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</si>
  <si>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</si>
  <si>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</si>
  <si>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</si>
  <si>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</si>
  <si>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</si>
  <si>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</si>
  <si>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</si>
  <si>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</si>
  <si>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</si>
  <si>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</si>
  <si>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</si>
  <si>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</si>
  <si>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</si>
  <si>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</si>
  <si>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</si>
  <si>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</si>
  <si>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</si>
  <si>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</si>
  <si>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</si>
  <si>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</si>
  <si>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</si>
  <si>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</si>
  <si>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</si>
  <si>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</si>
  <si>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</si>
  <si>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</si>
  <si>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</si>
  <si>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</si>
  <si>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</si>
  <si>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</si>
  <si>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</si>
  <si>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</si>
  <si>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</si>
  <si>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</si>
  <si>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</si>
  <si>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</si>
  <si>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</si>
  <si>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</si>
  <si>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</si>
  <si>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</si>
  <si>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</si>
  <si>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</si>
  <si>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</si>
  <si>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</si>
  <si>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</si>
  <si>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</si>
  <si>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</si>
  <si>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</si>
  <si>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</si>
  <si>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</si>
  <si>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</si>
  <si>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</si>
  <si>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</si>
  <si>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</si>
  <si>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</si>
  <si>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</si>
  <si>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</si>
  <si>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</si>
  <si>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</si>
  <si>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</si>
  <si>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</si>
  <si>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</si>
  <si>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</si>
  <si>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</si>
  <si>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</si>
  <si>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</si>
  <si>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</si>
  <si>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</si>
  <si>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</si>
  <si>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</si>
  <si>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</si>
  <si>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</si>
  <si>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</si>
  <si>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</si>
  <si>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</si>
  <si>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</si>
  <si>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</si>
  <si>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</si>
  <si>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</si>
  <si>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</si>
  <si>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</si>
  <si>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</si>
  <si>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</si>
  <si>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</si>
  <si>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</si>
  <si>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</si>
  <si>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</si>
  <si>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</si>
  <si>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</si>
  <si>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</si>
  <si>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</si>
  <si>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</si>
  <si>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</si>
  <si>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</si>
  <si>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</si>
  <si>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</si>
  <si>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</si>
  <si>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</si>
  <si>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</si>
  <si>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</si>
  <si>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</si>
  <si>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</si>
  <si>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</si>
  <si>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</si>
  <si>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</si>
  <si>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</si>
  <si>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</si>
  <si>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</si>
  <si>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</si>
  <si>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</si>
  <si>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</si>
  <si>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</si>
  <si>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</si>
  <si>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</si>
  <si>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</si>
  <si>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</si>
  <si>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</si>
  <si>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</si>
  <si>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</si>
  <si>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</si>
  <si>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</si>
  <si>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</si>
  <si>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</si>
  <si>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</si>
  <si>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</si>
  <si>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</si>
  <si>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</si>
  <si>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</si>
  <si>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</si>
  <si>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</si>
  <si>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</si>
  <si>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</si>
  <si>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</si>
  <si>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</si>
  <si>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</si>
  <si>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</si>
  <si>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</si>
  <si>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</si>
  <si>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</si>
  <si>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</si>
  <si>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</si>
  <si>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</si>
  <si>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</si>
  <si>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</si>
  <si>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</si>
  <si>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</si>
  <si>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</si>
  <si>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</si>
  <si>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</si>
  <si>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</si>
  <si>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</si>
  <si>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</si>
  <si>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</si>
  <si>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</si>
  <si>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</si>
  <si>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</si>
  <si>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</si>
  <si>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</si>
  <si>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</si>
  <si>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</si>
  <si>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</si>
  <si>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</si>
  <si>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</si>
  <si>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</si>
  <si>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</si>
  <si>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</si>
  <si>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</si>
  <si>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</si>
  <si>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</si>
  <si>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</si>
  <si>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</si>
  <si>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</si>
  <si>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</si>
  <si>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</si>
  <si>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</si>
  <si>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</si>
  <si>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</si>
  <si>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</si>
  <si>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</si>
  <si>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</si>
  <si>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</si>
  <si>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</si>
  <si>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</si>
  <si>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</si>
  <si>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</si>
  <si>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</si>
  <si>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</si>
  <si>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</si>
  <si>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</si>
  <si>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</si>
  <si>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</si>
  <si>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</si>
  <si>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</si>
  <si>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</si>
  <si>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</si>
  <si>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</si>
  <si>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</si>
  <si>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</si>
  <si>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</si>
  <si>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</si>
  <si>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</si>
  <si>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</si>
  <si>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</si>
  <si>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</si>
  <si>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</si>
  <si>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</si>
  <si>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</si>
  <si>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</si>
  <si>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</si>
  <si>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</si>
  <si>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</si>
  <si>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</si>
  <si>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</si>
  <si>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</si>
  <si>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</si>
  <si>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</si>
  <si>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</si>
  <si>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</si>
  <si>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</si>
  <si>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</si>
  <si>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</si>
  <si>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</si>
  <si>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</si>
  <si>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</si>
  <si>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</si>
  <si>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</si>
  <si>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</si>
  <si>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</si>
  <si>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</si>
  <si>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</si>
  <si>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</si>
  <si>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</si>
  <si>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</si>
  <si>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</si>
  <si>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</si>
  <si>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</si>
  <si>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</si>
  <si>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</si>
  <si>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</si>
  <si>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</si>
  <si>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</si>
  <si>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</si>
  <si>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</si>
  <si>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</si>
  <si>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</si>
  <si>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</si>
  <si>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</si>
  <si>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</si>
  <si>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</si>
  <si>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</si>
  <si>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</si>
  <si>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</si>
  <si>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</si>
  <si>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</si>
  <si>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</si>
  <si>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</si>
  <si>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</si>
  <si>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</si>
  <si>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</si>
  <si>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</si>
  <si>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</si>
  <si>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</si>
  <si>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</si>
  <si>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</si>
  <si>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</si>
  <si>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</si>
  <si>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</si>
  <si>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</si>
  <si>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</si>
  <si>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</si>
  <si>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</si>
  <si>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</si>
  <si>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</si>
  <si>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</si>
  <si>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</si>
  <si>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</si>
  <si>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</si>
  <si>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</si>
  <si>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</si>
  <si>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</si>
  <si>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</si>
  <si>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</si>
  <si>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</si>
  <si>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</si>
  <si>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</si>
  <si>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</si>
  <si>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</si>
  <si>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</si>
  <si>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</si>
  <si>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</si>
  <si>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</si>
  <si>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</si>
  <si>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</si>
  <si>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</si>
  <si>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</si>
  <si>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</si>
  <si>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</si>
  <si>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</si>
  <si>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</si>
  <si>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</si>
  <si>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</si>
  <si>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</si>
  <si>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</si>
  <si>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</si>
  <si>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</si>
  <si>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</si>
  <si>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</si>
  <si>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</si>
  <si>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</si>
  <si>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</si>
  <si>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</si>
  <si>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</si>
  <si>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</si>
  <si>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</si>
  <si>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</si>
  <si>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</si>
  <si>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</si>
  <si>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</si>
  <si>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</si>
  <si>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</si>
  <si>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</si>
  <si>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</si>
  <si>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</si>
  <si>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</si>
  <si>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</si>
  <si>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</si>
  <si>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</si>
  <si>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</si>
  <si>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</si>
  <si>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</si>
  <si>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</si>
  <si>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</si>
  <si>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</si>
  <si>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</si>
  <si>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较大</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</si>
  <si>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</si>
  <si>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</si>
  <si>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</si>
  <si>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</si>
  <si>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</si>
  <si>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</si>
  <si>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</si>
  <si>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估价对象周边商业氛围一般，人流量较大，商业繁华度一般</t>
    <phoneticPr fontId="25" type="noConversion"/>
  </si>
  <si>
    <t>估价对象周边办公楼项目数量一般，入驻率较高，办公集聚程度一般</t>
    <phoneticPr fontId="25" type="noConversion"/>
  </si>
  <si>
    <t>区域自然环境：；人文环境；综合评价环境状况较好</t>
    <phoneticPr fontId="41"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</si>
  <si>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</si>
  <si>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</si>
  <si>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</si>
  <si>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</si>
  <si>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</si>
  <si>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</si>
  <si>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</si>
  <si>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</si>
  <si>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</si>
  <si>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</si>
  <si>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</si>
  <si>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</si>
  <si>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</si>
  <si>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估价对象周边商业氛围一般，人流量较大，商业繁华度一般</t>
    <phoneticPr fontId="31" type="noConversion"/>
  </si>
  <si>
    <t>估价对象周边商业氛围一般，人流量较大，商业繁华度一般</t>
    <phoneticPr fontId="31" type="noConversion"/>
  </si>
  <si>
    <t>估价对象周边办公楼项目数量一般，入驻率较高，办公集聚程度一般</t>
    <phoneticPr fontId="32"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</si>
  <si>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</si>
  <si>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</si>
  <si>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</si>
  <si>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</si>
  <si>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</si>
  <si>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</si>
  <si>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1" type="noConversion"/>
  </si>
  <si>
    <t>估价对象所在区域公共配套设施较齐备</t>
    <phoneticPr fontId="41" type="noConversion"/>
  </si>
  <si>
    <t>估价对象所在区域基础设施七通</t>
    <phoneticPr fontId="25" type="noConversion"/>
  </si>
  <si>
    <t>估价对象所在区域公共配套设施较齐备</t>
    <phoneticPr fontId="31"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</si>
  <si>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</si>
  <si>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</si>
  <si>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</si>
  <si>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</si>
  <si>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</si>
  <si>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1" type="noConversion"/>
  </si>
  <si>
    <t>区域自然环境：；人文环境；综合评价环境状况较好</t>
    <phoneticPr fontId="31" type="noConversion"/>
  </si>
  <si>
    <t>区域自然环境：；人文环境；综合评价环境状况较好</t>
    <phoneticPr fontId="32" type="noConversion"/>
  </si>
  <si>
    <t>区域自然环境：；人文环境；综合评价环境状况一般</t>
    <phoneticPr fontId="32" type="noConversion"/>
  </si>
  <si>
    <t>区域自然环境：；人文环境；综合评价环境状况一般</t>
    <phoneticPr fontId="31"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</si>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</sst>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9" borderId="1"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176" fontId="47" fillId="9" borderId="24" xfId="1" applyNumberFormat="1" applyFont="1" applyFill="1" applyBorder="1" applyAlignment="1" applyProtection="1">
      <alignment horizontal="center" vertical="center"/>
      <protection locked="0"/>
    </xf>
    <xf numFmtId="49" fontId="98" fillId="9" borderId="39"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225" fillId="9" borderId="23" xfId="0" applyFont="1" applyFill="1" applyBorder="1" applyAlignment="1" applyProtection="1">
      <alignment horizontal="center" vertical="center" wrapText="1"/>
      <protection locked="0"/>
    </xf>
    <xf numFmtId="0" fontId="47" fillId="9" borderId="8" xfId="0" applyFont="1" applyFill="1" applyBorder="1" applyAlignment="1" applyProtection="1">
      <alignment horizontal="center" vertical="center" wrapText="1"/>
    </xf>
    <xf numFmtId="0" fontId="50" fillId="9" borderId="1" xfId="0" applyFont="1" applyFill="1" applyBorder="1" applyAlignment="1" applyProtection="1">
      <alignment horizontal="left" vertical="center" wrapText="1"/>
      <protection locked="0"/>
    </xf>
    <xf numFmtId="0" fontId="56" fillId="9" borderId="0"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776</v>
      </c>
    </row>
    <row r="21" spans="1:2" s="1596" customFormat="1">
      <c r="A21" s="1594" t="s">
        <v>1235</v>
      </c>
      <c r="B21" s="1595">
        <f ca="1">'预评函-2'!D7</f>
        <v>22180</v>
      </c>
    </row>
    <row r="22" spans="1:2" s="1596" customFormat="1">
      <c r="A22" s="1594" t="s">
        <v>1236</v>
      </c>
      <c r="B22" s="1595" t="str">
        <f ca="1">'预评函-2'!D6</f>
        <v>柒佰柒拾陆万元整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776</v>
      </c>
    </row>
    <row r="31" spans="1:2" s="1596" customFormat="1">
      <c r="A31" s="1594" t="s">
        <v>1274</v>
      </c>
      <c r="B31" s="1595">
        <f ca="1">'预评函-2'!D15</f>
        <v>2934</v>
      </c>
    </row>
    <row r="32" spans="1:2" s="1596" customFormat="1">
      <c r="A32" s="1594" t="s">
        <v>1241</v>
      </c>
      <c r="B32" s="1595" t="str">
        <f ca="1">'预评函-2'!D14</f>
        <v>柒佰柒拾陆万元整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2644.5600000000004</v>
      </c>
    </row>
    <row r="44" spans="1:2" s="1596" customFormat="1">
      <c r="A44" s="1594" t="s">
        <v>1273</v>
      </c>
      <c r="B44" s="1595" t="str">
        <f>'预评函-3'!C2</f>
        <v>(分摊)土地面积</v>
      </c>
    </row>
    <row r="45" spans="1:2" s="1596" customFormat="1">
      <c r="A45" s="1594" t="s">
        <v>1245</v>
      </c>
      <c r="B45" s="1595">
        <f>'预评函-3'!C4</f>
        <v>676.55</v>
      </c>
    </row>
    <row r="46" spans="1:2" s="1596" customFormat="1">
      <c r="A46" s="1594" t="s">
        <v>1271</v>
      </c>
      <c r="B46" s="1595" t="str">
        <f>'预评函-3'!D2</f>
        <v>出让国有建设用地使用权价值</v>
      </c>
    </row>
    <row r="47" spans="1:2" s="1596" customFormat="1">
      <c r="A47" s="1594" t="s">
        <v>1246</v>
      </c>
      <c r="B47" s="1595">
        <f ca="1">'预评函-3'!D4</f>
        <v>481</v>
      </c>
    </row>
    <row r="48" spans="1:2" s="1596" customFormat="1">
      <c r="A48" s="1594" t="s">
        <v>1247</v>
      </c>
      <c r="B48" s="1595">
        <f ca="1">'预评函-3'!E4</f>
        <v>13748</v>
      </c>
    </row>
    <row r="49" spans="1:2" s="1596" customFormat="1">
      <c r="A49" s="1594" t="s">
        <v>1248</v>
      </c>
      <c r="B49" s="1595" t="str">
        <f ca="1">'预评函-3'!D5</f>
        <v>肆佰捌拾壹万元整</v>
      </c>
    </row>
    <row r="50" spans="1:2" s="1596" customFormat="1">
      <c r="A50" s="1594" t="s">
        <v>1272</v>
      </c>
      <c r="B50" s="1595" t="str">
        <f>'预评函-3'!F2</f>
        <v>在建建筑物价值</v>
      </c>
    </row>
    <row r="51" spans="1:2" s="1596" customFormat="1">
      <c r="A51" s="1594" t="s">
        <v>1249</v>
      </c>
      <c r="B51" s="1595">
        <f ca="1">'预评函-3'!F4</f>
        <v>295</v>
      </c>
    </row>
    <row r="52" spans="1:2" s="1596" customFormat="1">
      <c r="A52" s="1594" t="s">
        <v>1250</v>
      </c>
      <c r="B52" s="1595">
        <f ca="1">'预评函-3'!G4</f>
        <v>8432</v>
      </c>
    </row>
    <row r="53" spans="1:2" s="1596" customFormat="1">
      <c r="A53" s="1594" t="s">
        <v>1278</v>
      </c>
      <c r="B53" s="1595" t="str">
        <f ca="1">'预评函-3'!F5</f>
        <v>贰佰玖拾伍万元整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1281</v>
      </c>
    </row>
    <row r="55" spans="1:4">
      <c r="A55" s="3042"/>
      <c r="B55" s="2025" t="s">
        <v>865</v>
      </c>
      <c r="C55" s="2022" t="s">
        <v>1282</v>
      </c>
    </row>
    <row r="56" spans="1:4">
      <c r="A56" s="3042"/>
      <c r="B56" s="2025" t="s">
        <v>866</v>
      </c>
      <c r="C56" s="2022" t="s">
        <v>1286</v>
      </c>
    </row>
    <row r="57" spans="1:4">
      <c r="A57" s="304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51" t="str">
        <f>IF(B10="北京市","北京市",C10)&amp;F10&amp;IF(结果表!G1="在建","出让国有建设用地使用权及在建建筑物",IF(结果表!G1="土地","出让国有建设用地使用权",))&amp;B9&amp;"预评估"</f>
        <v>新疆省昌吉市延安南路46号小区房地产市场价值预评估</v>
      </c>
      <c r="C1" s="3052"/>
      <c r="D1" s="3052"/>
      <c r="E1" s="3052"/>
      <c r="F1" s="3052"/>
      <c r="G1" s="3052"/>
      <c r="H1" s="3052"/>
      <c r="I1" s="305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3144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54"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55"/>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61"/>
      <c r="C16" s="3062"/>
      <c r="D16" s="3063"/>
      <c r="E16" s="2086" t="s">
        <v>1802</v>
      </c>
      <c r="F16" s="3064"/>
      <c r="G16" s="3065"/>
      <c r="H16" s="3065"/>
      <c r="I16" s="3066"/>
      <c r="J16" s="2032"/>
      <c r="K16" s="2083"/>
      <c r="L16" s="2084"/>
      <c r="M16" s="2084"/>
      <c r="N16" s="2085"/>
      <c r="O16" s="2084"/>
      <c r="P16" s="2085"/>
      <c r="Q16" s="2032"/>
      <c r="R16" s="2032"/>
    </row>
    <row r="17" spans="1:22" ht="18" customHeight="1">
      <c r="A17" s="2087" t="s">
        <v>1803</v>
      </c>
      <c r="B17" s="2038" t="s">
        <v>1804</v>
      </c>
      <c r="C17" s="1057">
        <f>'数据-汇总表'!E3</f>
        <v>2644.5600000000004</v>
      </c>
      <c r="D17" s="2088" t="s">
        <v>1805</v>
      </c>
      <c r="E17" s="3067" t="s">
        <v>3146</v>
      </c>
      <c r="F17" s="3068"/>
      <c r="G17" s="3068"/>
      <c r="H17" s="3068"/>
      <c r="I17" s="3069"/>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676.55</v>
      </c>
      <c r="D18" s="2091" t="s">
        <v>1805</v>
      </c>
      <c r="E18" s="3070" t="s">
        <v>3147</v>
      </c>
      <c r="F18" s="3071"/>
      <c r="G18" s="3071"/>
      <c r="H18" s="3071"/>
      <c r="I18" s="3072"/>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57" t="s">
        <v>1812</v>
      </c>
      <c r="C20" s="3058"/>
      <c r="D20" s="3059" t="s">
        <v>1813</v>
      </c>
      <c r="E20" s="3060"/>
      <c r="F20" s="2098" t="s">
        <v>1814</v>
      </c>
      <c r="G20" s="2045"/>
      <c r="H20" s="2045"/>
      <c r="I20" s="2045"/>
      <c r="J20" s="2045"/>
      <c r="K20" s="3056"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3148</v>
      </c>
      <c r="D22" s="2029"/>
      <c r="E22" s="2029"/>
      <c r="F22" s="2105"/>
      <c r="G22" s="2045"/>
      <c r="H22" s="2045"/>
      <c r="I22" s="2045"/>
      <c r="J22" s="2045"/>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44"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4"/>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4"/>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5"/>
      <c r="B30" s="2038" t="s">
        <v>1829</v>
      </c>
      <c r="C30" s="3046"/>
      <c r="D30" s="304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8"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49"/>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49"/>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3149</v>
      </c>
      <c r="C34" s="2134" t="s">
        <v>3150</v>
      </c>
      <c r="D34" s="2134" t="s">
        <v>3151</v>
      </c>
      <c r="E34" s="2134" t="s">
        <v>3152</v>
      </c>
      <c r="F34" s="2134" t="s">
        <v>3153</v>
      </c>
      <c r="G34" s="2134" t="s">
        <v>3154</v>
      </c>
      <c r="H34" s="2134"/>
      <c r="I34" s="2045"/>
      <c r="J34" s="2045"/>
      <c r="K34" s="1798">
        <f>COUNTIF(B34:H34,"——")</f>
        <v>0</v>
      </c>
      <c r="L34" s="2075" t="s">
        <v>1832</v>
      </c>
      <c r="M34" s="2075" t="s">
        <v>1833</v>
      </c>
      <c r="N34" s="2075" t="s">
        <v>1834</v>
      </c>
      <c r="O34" s="2075" t="s">
        <v>1835</v>
      </c>
      <c r="P34" s="2075" t="s">
        <v>1836</v>
      </c>
      <c r="Q34" s="2075" t="s">
        <v>1837</v>
      </c>
      <c r="R34" s="2075" t="s">
        <v>1838</v>
      </c>
      <c r="S34" s="3043" t="s">
        <v>1839</v>
      </c>
      <c r="T34" s="2135" t="str">
        <f>NUMBERSTRING(7-K34,1)&amp;"通"</f>
        <v>七通</v>
      </c>
      <c r="U34" s="2032"/>
      <c r="V34" s="2032"/>
    </row>
    <row r="35" spans="1:22" ht="18" customHeight="1">
      <c r="A35" s="2136"/>
      <c r="B35" s="3050" t="s">
        <v>1840</v>
      </c>
      <c r="C35" s="3050"/>
      <c r="D35" s="3050"/>
      <c r="E35" s="3050"/>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3"/>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676.55127822900397</v>
      </c>
      <c r="B3" s="14">
        <f>IF(C3="否",G5-AT5,G5)</f>
        <v>2644.5600000000004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2644.5600000000004</v>
      </c>
      <c r="H5" s="16">
        <f t="shared" ref="H5:AT5" si="0">SUM(H13:H656)</f>
        <v>2644.5600000000004</v>
      </c>
      <c r="I5" s="16">
        <f t="shared" si="0"/>
        <v>2644.5600000000004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2644.5600000000004</v>
      </c>
      <c r="BA5" s="18">
        <f t="shared" si="1"/>
        <v>2644.5600000000004</v>
      </c>
      <c r="BB5" s="18">
        <f t="shared" si="1"/>
        <v>2644.5600000000004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676.55</v>
      </c>
      <c r="F6" s="16" t="s">
        <v>1</v>
      </c>
      <c r="G6" s="16" t="s">
        <v>2</v>
      </c>
      <c r="H6" s="20">
        <f>SUMIF(I$12:AB$12,"总值",I6:AB6)</f>
        <v>676.55</v>
      </c>
      <c r="I6" s="16">
        <f t="shared" ref="I6:AB6" si="2">ROUND($A$3*I5/$B$3,2)</f>
        <v>676.55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676.55</v>
      </c>
      <c r="AZ6" s="16" t="s">
        <v>3</v>
      </c>
      <c r="BA6" s="16">
        <f>ROUND($AY$6*BA5/$AZ$5,2)</f>
        <v>676.55</v>
      </c>
      <c r="BB6" s="16">
        <f>ROUND($AY$6*BB5/$AZ$5,2)</f>
        <v>676.55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SUM(Sheet3!C1:C4)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587.04</v>
      </c>
      <c r="F14" s="32"/>
      <c r="G14" s="33">
        <f>H14+AC14+AT14</f>
        <v>2294.6900000000005</v>
      </c>
      <c r="H14" s="20">
        <f>SUMIF(I$12:AB$12,"总值",I14:AB14)</f>
        <v>2294.6900000000005</v>
      </c>
      <c r="I14" s="2215">
        <f>Sheet3!C63</f>
        <v>2294.6900000000005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587.04</v>
      </c>
      <c r="AZ14" s="16">
        <f>BA14+BL14</f>
        <v>2294.6900000000005</v>
      </c>
      <c r="BA14" s="16">
        <f>SUM(BB14:BK14)</f>
        <v>2294.6900000000005</v>
      </c>
      <c r="BB14" s="16">
        <f>IF($D14="是",I14-J14,0)</f>
        <v>2294.6900000000005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4" t="s">
        <v>1936</v>
      </c>
      <c r="B2" s="3084"/>
      <c r="C2" s="3084"/>
      <c r="D2" s="970" t="s">
        <v>1912</v>
      </c>
      <c r="E2" s="2228" t="s">
        <v>1913</v>
      </c>
      <c r="F2" s="1395"/>
      <c r="G2" s="2229"/>
      <c r="H2" s="2230"/>
      <c r="I2" s="2231" t="s">
        <v>1937</v>
      </c>
      <c r="J2" s="1395"/>
      <c r="K2" s="1395"/>
      <c r="L2" s="1395"/>
      <c r="M2" s="1395"/>
      <c r="N2" s="1430"/>
      <c r="O2" s="1395"/>
      <c r="P2" s="1395"/>
    </row>
    <row r="3" spans="1:16" ht="15.75" thickBot="1">
      <c r="A3" s="3085" t="s">
        <v>1910</v>
      </c>
      <c r="B3" s="3085"/>
      <c r="C3" s="3085"/>
      <c r="D3" s="46">
        <f>'数据-基础表'!AY6</f>
        <v>676.55</v>
      </c>
      <c r="E3" s="46">
        <f>'数据-基础表'!AZ5</f>
        <v>2644.5600000000004</v>
      </c>
      <c r="F3" s="1395"/>
      <c r="G3" s="1402"/>
      <c r="H3" s="1250" t="s">
        <v>1911</v>
      </c>
      <c r="I3" s="55">
        <f>ROUND('数据-基础表'!B3/'数据-基础表'!A3,2)</f>
        <v>3.91</v>
      </c>
      <c r="J3" s="1395"/>
      <c r="K3" s="1395"/>
      <c r="L3" s="1395"/>
      <c r="M3" s="1395"/>
      <c r="N3" s="1430"/>
      <c r="O3" s="1395"/>
      <c r="P3" s="1395"/>
    </row>
    <row r="4" spans="1:16" ht="15">
      <c r="A4" s="3086"/>
      <c r="B4" s="3087"/>
      <c r="C4" s="3088"/>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89" t="s">
        <v>1915</v>
      </c>
      <c r="C5" s="3089"/>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89" t="s">
        <v>1916</v>
      </c>
      <c r="C6" s="3089"/>
      <c r="D6" s="48">
        <f>ROUND($D$3*E6/$E$3,2)</f>
        <v>676.55</v>
      </c>
      <c r="E6" s="49">
        <f>E3-E5</f>
        <v>2644.5600000000004</v>
      </c>
      <c r="F6" s="1395"/>
      <c r="G6" s="2236" t="s">
        <v>1917</v>
      </c>
      <c r="H6" s="1402" t="s">
        <v>1918</v>
      </c>
      <c r="I6" s="942">
        <f>ROUND(F31/D31,2)</f>
        <v>3.91</v>
      </c>
      <c r="J6" s="1395"/>
      <c r="K6" s="1395"/>
      <c r="L6" s="1395"/>
      <c r="M6" s="1395"/>
      <c r="N6" s="1395"/>
      <c r="O6" s="1395"/>
      <c r="P6" s="1395"/>
    </row>
    <row r="7" spans="1:16" ht="15">
      <c r="A7" s="3081"/>
      <c r="B7" s="3082"/>
      <c r="C7" s="3083"/>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676.55</v>
      </c>
      <c r="E8" s="51">
        <f>SUMIF('数据-基础表'!BB10:BK10,"地上",'数据-基础表'!BB5:BK5)</f>
        <v>2644.5600000000004</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676.55</v>
      </c>
      <c r="E16" s="53">
        <f>SUM(E8:E15)</f>
        <v>2644.5600000000004</v>
      </c>
      <c r="F16" s="1395"/>
      <c r="G16" s="2238"/>
      <c r="H16" s="2241" t="s">
        <v>1940</v>
      </c>
      <c r="I16" s="2242"/>
      <c r="J16" s="1395"/>
      <c r="K16" s="3078" t="s">
        <v>1940</v>
      </c>
      <c r="L16" s="3079"/>
      <c r="M16" s="3079"/>
      <c r="N16" s="3079"/>
      <c r="O16" s="3079"/>
      <c r="P16" s="3080"/>
    </row>
    <row r="17" spans="1:19" ht="15">
      <c r="A17" s="2243" t="s">
        <v>1941</v>
      </c>
      <c r="B17" s="2244" t="s">
        <v>1942</v>
      </c>
      <c r="C17" s="2245" t="s">
        <v>1943</v>
      </c>
      <c r="D17" s="2246" t="s">
        <v>1931</v>
      </c>
      <c r="E17" s="2247" t="s">
        <v>1932</v>
      </c>
      <c r="F17" s="2248"/>
      <c r="G17" s="2249"/>
      <c r="H17" s="2250" t="s">
        <v>1944</v>
      </c>
      <c r="I17" s="2251" t="s">
        <v>1929</v>
      </c>
      <c r="J17" s="1395"/>
      <c r="K17" s="3075" t="s">
        <v>1945</v>
      </c>
      <c r="L17" s="3076"/>
      <c r="M17" s="3077"/>
      <c r="N17" s="3075" t="s">
        <v>1946</v>
      </c>
      <c r="O17" s="3076"/>
      <c r="P17" s="3077"/>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587.04</v>
      </c>
      <c r="E20" s="56">
        <f t="shared" si="1"/>
        <v>2294.6900000000005</v>
      </c>
      <c r="F20" s="57">
        <f>'数据-基础表'!I14</f>
        <v>2294.6900000000005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587.04</v>
      </c>
      <c r="S20" s="1251">
        <f t="shared" si="5"/>
        <v>2294.6900000000005</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676.55</v>
      </c>
      <c r="E27" s="1397">
        <f>IF(SUM(E19:E26)='数据-基础表'!BA5,SUM(E19:E26),IF(F27="地上面积有误","面积有误","地下面积有误"))</f>
        <v>2644.5600000000004</v>
      </c>
      <c r="F27" s="1396">
        <f>IF(SUM(F19:F26)=E8,SUM(F19:F26),"地上面积有误")</f>
        <v>2644.5600000000004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676.55</v>
      </c>
      <c r="S27" s="1250">
        <f>IF(SUM(S19:S26)=$E$3,SUM(S19:S26),SUM(S19:S26)&amp;"误差"&amp;ROUND(SUM(S19:S26)-E3,2))</f>
        <v>2644.5600000000004</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676.55</v>
      </c>
      <c r="E31" s="729">
        <f>E27+E30</f>
        <v>2644.5600000000004</v>
      </c>
      <c r="F31" s="730">
        <f>F27+F30</f>
        <v>2644.5600000000004</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3326">
        <f>ROUND(1-(2018-2017)/60,2)</f>
        <v>0.98</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3327">
        <f>N6</f>
        <v>0.98</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548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2294.6900000000005</v>
      </c>
      <c r="L7" s="803">
        <v>2600</v>
      </c>
      <c r="M7" s="75">
        <f t="shared" si="0"/>
        <v>597</v>
      </c>
      <c r="N7" s="3326">
        <f>N6</f>
        <v>0.98</v>
      </c>
      <c r="O7" s="75" t="str">
        <f t="shared" ref="O7:O14" si="3">IF($N$5="成新度","——",ROUND(M7*N7,0))</f>
        <v>——</v>
      </c>
      <c r="P7" s="76" t="str">
        <f t="shared" ref="P7:P14" si="4">IF($N$5="成新度","——",M7-O7)</f>
        <v>——</v>
      </c>
      <c r="Q7" s="804">
        <v>0.2</v>
      </c>
      <c r="R7" s="77">
        <f ca="1">SUMIF('数据-汇总表'!C$19:C$33,A7,'数据-汇总表'!R$19:R$27)</f>
        <v>587.04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3327">
        <f>N6</f>
        <v>0.98</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1686</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2644.5600000000004</v>
      </c>
      <c r="L16" s="102">
        <f>ROUND(M16*10000/SUM(K6:K14),0)</f>
        <v>2602</v>
      </c>
      <c r="M16" s="102">
        <f>SUM(M6:M14)</f>
        <v>688</v>
      </c>
      <c r="N16" s="103">
        <f>ROUND(SUMPRODUCT(M6:M14,N6:N14)/M16,3)</f>
        <v>0.98</v>
      </c>
      <c r="O16" s="102">
        <f>SUM(O6:O14)</f>
        <v>0</v>
      </c>
      <c r="P16" s="102">
        <f>SUM(P6:P14)</f>
        <v>0</v>
      </c>
      <c r="Q16" s="104">
        <f>ROUND(SUMPRODUCT(Q6:Q13,K6:K13)/SUMPRODUCT((Q6:Q13&gt;0)*(K6:K13)),2)</f>
        <v>0.2</v>
      </c>
      <c r="R16" s="1258">
        <f ca="1">SUM(R6:R13)</f>
        <v>676.55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3328">
        <v>1</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4.3499999999999997E-2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0" t="s">
        <v>2081</v>
      </c>
      <c r="B1" s="3091"/>
      <c r="C1" s="3091"/>
      <c r="D1" s="3091"/>
      <c r="E1" s="3091"/>
      <c r="F1" s="3091"/>
      <c r="G1" s="309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3102</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3103</v>
      </c>
      <c r="D5" s="2372"/>
      <c r="E5" s="2375"/>
      <c r="F5" s="1798" t="s">
        <v>2093</v>
      </c>
      <c r="G5" s="2376" t="s">
        <v>2094</v>
      </c>
      <c r="H5" s="2369"/>
      <c r="I5" s="2369"/>
      <c r="J5" s="2369"/>
      <c r="K5" s="2369"/>
      <c r="L5" s="2369"/>
      <c r="M5" s="2369"/>
      <c r="N5" s="2369"/>
      <c r="O5" s="2369"/>
      <c r="P5" s="2369"/>
      <c r="Q5" s="2369"/>
      <c r="R5" s="2369"/>
    </row>
    <row r="6" spans="1:29" ht="54">
      <c r="A6" s="431"/>
      <c r="B6" s="1798" t="s">
        <v>2095</v>
      </c>
      <c r="C6" s="2988" t="s">
        <v>3121</v>
      </c>
      <c r="D6" s="2372"/>
      <c r="E6" s="2375"/>
      <c r="F6" s="1798" t="s">
        <v>2096</v>
      </c>
      <c r="G6" s="2376" t="s">
        <v>2097</v>
      </c>
      <c r="H6" s="2369"/>
      <c r="I6" s="2369"/>
      <c r="J6" s="2369"/>
      <c r="K6" s="2369"/>
      <c r="L6" s="2369"/>
      <c r="M6" s="2369"/>
      <c r="N6" s="2369"/>
      <c r="O6" s="2369"/>
      <c r="P6" s="2369"/>
      <c r="Q6" s="2369"/>
      <c r="R6" s="2369"/>
    </row>
    <row r="7" spans="1:29" ht="41.25" thickBot="1">
      <c r="A7" s="431"/>
      <c r="B7" s="1798" t="s">
        <v>2093</v>
      </c>
      <c r="C7" s="2988" t="s">
        <v>3128</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3129</v>
      </c>
      <c r="D8" s="2377"/>
      <c r="E8" s="2377"/>
      <c r="F8" s="1136"/>
      <c r="G8" s="1136"/>
      <c r="H8" s="2369"/>
      <c r="I8" s="2369"/>
      <c r="J8" s="2369"/>
      <c r="K8" s="2369"/>
      <c r="L8" s="2369"/>
      <c r="M8" s="2369"/>
      <c r="N8" s="2369"/>
      <c r="O8" s="2369"/>
      <c r="P8" s="2369"/>
      <c r="Q8" s="2369"/>
      <c r="R8" s="2369"/>
    </row>
    <row r="9" spans="1:29" ht="27">
      <c r="A9" s="431"/>
      <c r="B9" s="1798" t="s">
        <v>2100</v>
      </c>
      <c r="C9" s="2981" t="s">
        <v>3104</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估价对象周边商业氛围一般，人流量较大，商业繁华度一般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28.5">
      <c r="A20" s="645"/>
      <c r="B20" s="2408" t="s">
        <v>2110</v>
      </c>
      <c r="C20" s="2406" t="str">
        <f>C9</f>
        <v>区域自然环境：；人文环境；综合评价环境状况较好</v>
      </c>
      <c r="D20" s="2377"/>
      <c r="E20" s="2407"/>
      <c r="F20" s="1798" t="s">
        <v>2111</v>
      </c>
      <c r="G20" s="136" t="str">
        <f>G6</f>
        <v>估价对象所在区域基础设施水平</v>
      </c>
    </row>
    <row r="21" spans="1:18" ht="28.5">
      <c r="A21" s="645"/>
      <c r="B21" s="1798" t="s">
        <v>2093</v>
      </c>
      <c r="C21" s="136" t="str">
        <f>C7</f>
        <v>估价对象所在区域公共配套设施较齐备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2644.5600000000004</v>
      </c>
      <c r="C1" s="1745"/>
      <c r="D1" s="1745"/>
      <c r="E1" s="1745"/>
      <c r="F1" s="1745"/>
      <c r="G1" s="1743"/>
    </row>
    <row r="2" spans="1:10" ht="16.5">
      <c r="A2" s="1746" t="s">
        <v>1353</v>
      </c>
      <c r="B2" s="1746">
        <f>SUM(C14:C23)</f>
        <v>676.55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2600</v>
      </c>
      <c r="C5" s="1746">
        <f ca="1">ROUND(B5*10000/$B$1,0)</f>
        <v>9832</v>
      </c>
      <c r="D5" s="1746">
        <f ca="1">ROUND(B5*10000/$B$2,0)</f>
        <v>38430</v>
      </c>
      <c r="E5" s="1745"/>
      <c r="F5" s="1743"/>
      <c r="G5" s="1743"/>
    </row>
    <row r="6" spans="1:10" ht="16.5">
      <c r="A6" s="1746" t="s">
        <v>1356</v>
      </c>
      <c r="B6" s="1746">
        <f ca="1">SUM(G14:G23)</f>
        <v>2600</v>
      </c>
      <c r="C6" s="1746">
        <f ca="1">ROUND(B6*10000/$B$1,0)</f>
        <v>9832</v>
      </c>
      <c r="D6" s="1746">
        <f ca="1">ROUND(B6*10000/$B$2,0)</f>
        <v>38430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776</v>
      </c>
      <c r="E14" s="1744">
        <f ca="1">ROUND(D14*10000/B14,0)</f>
        <v>22180</v>
      </c>
      <c r="F14" s="1744">
        <f ca="1">ROUND(D14*10000/C14,0)</f>
        <v>86694</v>
      </c>
      <c r="G14" s="1744">
        <f ca="1">结果表!D122</f>
        <v>776</v>
      </c>
      <c r="H14" s="1744" t="str">
        <f>结果表!D124</f>
        <v>——</v>
      </c>
      <c r="I14" s="1744" t="str">
        <f>结果表!D126</f>
        <v>——</v>
      </c>
      <c r="J14" s="1743"/>
    </row>
    <row r="15" spans="1:10" ht="16.5">
      <c r="A15" s="1742" t="s">
        <v>1349</v>
      </c>
      <c r="B15" s="1749">
        <f>'结果表-办公'!L18</f>
        <v>2294.6900000000005</v>
      </c>
      <c r="C15" s="1749">
        <f>'结果表-办公'!L19</f>
        <v>587.04</v>
      </c>
      <c r="D15" s="1749">
        <f ca="1">'结果表-办公'!G19</f>
        <v>1824</v>
      </c>
      <c r="E15" s="1744">
        <f t="shared" ref="E15:E23" ca="1" si="0">ROUND(D15*10000/B15,0)</f>
        <v>7949</v>
      </c>
      <c r="F15" s="1744">
        <f t="shared" ref="F15:F23" ca="1" si="1">ROUND(D15*10000/C15,0)</f>
        <v>31071</v>
      </c>
      <c r="G15" s="1750">
        <f ca="1">'结果表-办公'!G19</f>
        <v>1824</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25" t="str">
        <f>项目基本情况!S2</f>
        <v>新疆省昌吉市延安南路46号小区房地产</v>
      </c>
      <c r="B2" s="3126"/>
      <c r="C2" s="3126"/>
      <c r="D2" s="3126"/>
      <c r="E2" s="3126"/>
      <c r="F2" s="3126"/>
      <c r="G2" s="3126"/>
      <c r="H2" s="3126"/>
      <c r="I2" s="3127"/>
    </row>
    <row r="3" spans="1:12" ht="12.75">
      <c r="A3" s="3129" t="s">
        <v>2117</v>
      </c>
      <c r="B3" s="3130"/>
      <c r="C3" s="3130"/>
      <c r="D3" s="3130"/>
      <c r="E3" s="3130"/>
      <c r="F3" s="3130"/>
      <c r="G3" s="3130"/>
      <c r="H3" s="3130"/>
      <c r="I3" s="3130"/>
    </row>
    <row r="4" spans="1:12" ht="14.25">
      <c r="A4" s="2426" t="s">
        <v>2118</v>
      </c>
      <c r="B4" s="2427" t="s">
        <v>2119</v>
      </c>
      <c r="C4" s="2428" t="s">
        <v>3074</v>
      </c>
      <c r="D4" s="2428" t="s">
        <v>3065</v>
      </c>
      <c r="E4" s="3122" t="s">
        <v>2120</v>
      </c>
      <c r="F4" s="3123"/>
      <c r="G4" s="3123"/>
      <c r="H4" s="3123"/>
      <c r="I4" s="313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5" t="s">
        <v>2121</v>
      </c>
      <c r="B5" s="3043">
        <v>25</v>
      </c>
      <c r="C5" s="3108"/>
      <c r="D5" s="3128"/>
      <c r="E5" s="140" t="s">
        <v>2122</v>
      </c>
      <c r="F5" s="2430"/>
      <c r="G5" s="2430"/>
      <c r="H5" s="2430"/>
      <c r="I5" s="1834"/>
    </row>
    <row r="6" spans="1:12" ht="12.75">
      <c r="A6" s="3105"/>
      <c r="B6" s="3043"/>
      <c r="C6" s="3109"/>
      <c r="D6" s="3128"/>
      <c r="E6" s="140" t="s">
        <v>2123</v>
      </c>
      <c r="F6" s="2430"/>
      <c r="G6" s="2430"/>
      <c r="H6" s="2430"/>
      <c r="I6" s="1834"/>
    </row>
    <row r="7" spans="1:12" ht="12.75">
      <c r="A7" s="3105"/>
      <c r="B7" s="3043"/>
      <c r="C7" s="3110"/>
      <c r="D7" s="3128"/>
      <c r="E7" s="140" t="s">
        <v>2124</v>
      </c>
      <c r="F7" s="2430"/>
      <c r="G7" s="2430"/>
      <c r="H7" s="2430"/>
      <c r="I7" s="1834"/>
    </row>
    <row r="8" spans="1:12" ht="12.75">
      <c r="A8" s="3105" t="s">
        <v>2125</v>
      </c>
      <c r="B8" s="3043">
        <v>15</v>
      </c>
      <c r="C8" s="3108"/>
      <c r="D8" s="3128"/>
      <c r="E8" s="140" t="s">
        <v>2126</v>
      </c>
      <c r="F8" s="2430"/>
      <c r="G8" s="2430"/>
      <c r="H8" s="2430"/>
      <c r="I8" s="1834"/>
    </row>
    <row r="9" spans="1:12" ht="12.75">
      <c r="A9" s="3105"/>
      <c r="B9" s="3043"/>
      <c r="C9" s="3110"/>
      <c r="D9" s="3128"/>
      <c r="E9" s="140" t="s">
        <v>2127</v>
      </c>
      <c r="F9" s="2430"/>
      <c r="G9" s="2430"/>
      <c r="H9" s="2430"/>
      <c r="I9" s="1834"/>
    </row>
    <row r="10" spans="1:12" ht="12.75">
      <c r="A10" s="3105" t="s">
        <v>2128</v>
      </c>
      <c r="B10" s="3043">
        <v>15</v>
      </c>
      <c r="C10" s="3108"/>
      <c r="D10" s="3128"/>
      <c r="E10" s="140" t="s">
        <v>2129</v>
      </c>
      <c r="F10" s="2430"/>
      <c r="G10" s="2430"/>
      <c r="H10" s="2430"/>
      <c r="I10" s="1834"/>
    </row>
    <row r="11" spans="1:12" ht="12.75">
      <c r="A11" s="3105"/>
      <c r="B11" s="3043"/>
      <c r="C11" s="3110"/>
      <c r="D11" s="3128"/>
      <c r="E11" s="140" t="s">
        <v>2130</v>
      </c>
      <c r="F11" s="2430"/>
      <c r="G11" s="2430"/>
      <c r="H11" s="2430"/>
      <c r="I11" s="1834"/>
    </row>
    <row r="12" spans="1:12" ht="12.75">
      <c r="A12" s="3105" t="s">
        <v>2131</v>
      </c>
      <c r="B12" s="3043">
        <v>15</v>
      </c>
      <c r="C12" s="3108"/>
      <c r="D12" s="3128"/>
      <c r="E12" s="140" t="s">
        <v>2132</v>
      </c>
      <c r="F12" s="2430"/>
      <c r="G12" s="2430"/>
      <c r="H12" s="2430"/>
      <c r="I12" s="1834"/>
    </row>
    <row r="13" spans="1:12" ht="12.75">
      <c r="A13" s="3105"/>
      <c r="B13" s="3043"/>
      <c r="C13" s="3110"/>
      <c r="D13" s="3128"/>
      <c r="E13" s="140" t="s">
        <v>2133</v>
      </c>
      <c r="F13" s="2430"/>
      <c r="G13" s="2430"/>
      <c r="H13" s="2430"/>
      <c r="I13" s="1834"/>
    </row>
    <row r="14" spans="1:12" ht="12.75">
      <c r="A14" s="3105" t="s">
        <v>2134</v>
      </c>
      <c r="B14" s="3043">
        <v>30</v>
      </c>
      <c r="C14" s="3108">
        <v>6</v>
      </c>
      <c r="D14" s="3128">
        <v>4</v>
      </c>
      <c r="E14" s="140" t="s">
        <v>2135</v>
      </c>
      <c r="F14" s="2430"/>
      <c r="G14" s="2430"/>
      <c r="H14" s="2430"/>
      <c r="I14" s="1834"/>
    </row>
    <row r="15" spans="1:12" ht="12.75">
      <c r="A15" s="3105"/>
      <c r="B15" s="3043"/>
      <c r="C15" s="3109"/>
      <c r="D15" s="3128"/>
      <c r="E15" s="140" t="s">
        <v>2136</v>
      </c>
      <c r="F15" s="2430"/>
      <c r="G15" s="2430"/>
      <c r="H15" s="2430"/>
      <c r="I15" s="1834"/>
    </row>
    <row r="16" spans="1:12" ht="12.75">
      <c r="A16" s="3105"/>
      <c r="B16" s="3043"/>
      <c r="C16" s="3110"/>
      <c r="D16" s="3128"/>
      <c r="E16" s="140" t="s">
        <v>2137</v>
      </c>
      <c r="F16" s="2430"/>
      <c r="G16" s="2430"/>
      <c r="H16" s="2430"/>
      <c r="I16" s="1834"/>
    </row>
    <row r="17" spans="1:35" ht="15">
      <c r="A17" s="2431" t="s">
        <v>2138</v>
      </c>
      <c r="B17" s="64"/>
      <c r="C17" s="141">
        <f>SUM(C5:C16)</f>
        <v>6</v>
      </c>
      <c r="D17" s="141">
        <f>SUM(D5:D16)</f>
        <v>4</v>
      </c>
      <c r="E17" s="138"/>
      <c r="F17" s="138"/>
      <c r="G17" s="138"/>
      <c r="H17" s="138"/>
      <c r="I17" s="138"/>
      <c r="K17" s="2429"/>
      <c r="L17" s="2432" t="s">
        <v>2139</v>
      </c>
      <c r="M17" s="2432" t="s">
        <v>2140</v>
      </c>
    </row>
    <row r="18" spans="1:35" ht="15.75" thickBot="1">
      <c r="A18" s="2433" t="s">
        <v>2141</v>
      </c>
      <c r="B18" s="2434"/>
      <c r="C18" s="142">
        <f>ROUND(C17/SUM(C17:D17),2)</f>
        <v>0.6</v>
      </c>
      <c r="D18" s="142">
        <f>1-C18</f>
        <v>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928</v>
      </c>
      <c r="D19" s="144">
        <f ca="1">SUMIF(INDIRECT("'"&amp;D4&amp;"'"&amp;"!A:A"),结果表!B19,INDIRECT("'"&amp;D4&amp;"'"&amp;"!B:B"))</f>
        <v>548</v>
      </c>
      <c r="E19" s="2435" t="s">
        <v>2145</v>
      </c>
      <c r="F19" s="2436" t="s">
        <v>2144</v>
      </c>
      <c r="G19" s="145">
        <f ca="1">ROUND(C19*$C$18+D19*$D$18,0)</f>
        <v>776</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26524</v>
      </c>
      <c r="D20" s="147">
        <f ca="1">SUMIF(INDIRECT("'"&amp;D4&amp;"'"&amp;"!A:A"),结果表!B20,INDIRECT("'"&amp;D4&amp;"'"&amp;"!B:B"))</f>
        <v>15673</v>
      </c>
      <c r="E20" s="2438"/>
      <c r="F20" s="1250" t="s">
        <v>2148</v>
      </c>
      <c r="G20" s="148">
        <f ca="1">ROUND(C20*$C$18+D20*$D$18,0)</f>
        <v>22184</v>
      </c>
      <c r="H20" s="983" t="s">
        <v>2149</v>
      </c>
      <c r="I20" s="138"/>
    </row>
    <row r="21" spans="1:35" ht="15" customHeight="1" thickBot="1">
      <c r="A21" s="1003"/>
      <c r="B21" s="2439" t="s">
        <v>2150</v>
      </c>
      <c r="C21" s="789">
        <f ca="1">ROUND(C19*10000/L19,0)</f>
        <v>103676</v>
      </c>
      <c r="D21" s="790">
        <f ca="1">ROUND(D19*10000/L19,0)</f>
        <v>61222</v>
      </c>
      <c r="E21" s="1003"/>
      <c r="F21" s="2439" t="s">
        <v>2150</v>
      </c>
      <c r="G21" s="149">
        <f ca="1">ROUND(G19*10000/L19,0)</f>
        <v>86694</v>
      </c>
      <c r="H21" s="2440" t="s">
        <v>2149</v>
      </c>
      <c r="I21" s="138"/>
    </row>
    <row r="22" spans="1:35" ht="15" thickBot="1">
      <c r="A22" s="2282" t="s">
        <v>2151</v>
      </c>
      <c r="B22" s="2441"/>
      <c r="C22" s="2442"/>
      <c r="D22" s="791">
        <f ca="1">IF(C19&lt;D19,D19/C19-1,C19/D19-1)</f>
        <v>0.6934306569343065</v>
      </c>
      <c r="E22" s="138"/>
      <c r="F22" s="138"/>
      <c r="G22" s="138"/>
      <c r="H22" s="138"/>
      <c r="I22" s="138"/>
    </row>
    <row r="23" spans="1:35" ht="13.5" thickBot="1">
      <c r="A23" s="2419"/>
      <c r="B23" s="2419"/>
      <c r="C23" s="2419"/>
      <c r="D23" s="2419"/>
      <c r="E23" s="138"/>
      <c r="F23" s="138"/>
      <c r="G23" s="138"/>
      <c r="H23" s="138"/>
      <c r="I23" s="138"/>
    </row>
    <row r="24" spans="1:35" ht="14.25">
      <c r="A24" s="3099" t="s">
        <v>2152</v>
      </c>
      <c r="B24" s="2436" t="s">
        <v>2144</v>
      </c>
      <c r="C24" s="145">
        <f>IF(B30=0,0,D30)</f>
        <v>0</v>
      </c>
      <c r="D24" s="2443"/>
      <c r="E24" s="138"/>
      <c r="F24" s="138"/>
      <c r="G24" s="138"/>
      <c r="H24" s="138"/>
      <c r="I24" s="138"/>
    </row>
    <row r="25" spans="1:35" ht="14.25">
      <c r="A25" s="3100"/>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776</v>
      </c>
      <c r="D32" s="2450" t="s">
        <v>3156</v>
      </c>
      <c r="E32" s="138"/>
      <c r="F32" s="138"/>
      <c r="G32" s="138"/>
      <c r="H32" s="138"/>
      <c r="I32" s="138"/>
    </row>
    <row r="33" spans="1:15" ht="15">
      <c r="A33" s="960" t="s">
        <v>2160</v>
      </c>
      <c r="B33" s="2451"/>
      <c r="C33" s="2452" t="s">
        <v>3155</v>
      </c>
      <c r="D33" s="2453" t="s">
        <v>3065</v>
      </c>
      <c r="E33" s="2454" t="s">
        <v>2161</v>
      </c>
      <c r="F33" s="2455" t="str">
        <f>IF(D32="楼面单价","取值（单价）","取值（总价）")</f>
        <v>取值（总价）</v>
      </c>
      <c r="G33" s="138"/>
      <c r="H33" s="138"/>
      <c r="I33" s="138"/>
    </row>
    <row r="34" spans="1:15" ht="15">
      <c r="A34" s="2456"/>
      <c r="B34" s="2457" t="s">
        <v>2162</v>
      </c>
      <c r="C34" s="157">
        <f ca="1">IF(C33="自定义",F34,C32-C35)</f>
        <v>481</v>
      </c>
      <c r="D34" s="1058">
        <f ca="1">IF(C33="自定义",ROUND(C34/C32,3),IF(C33="收益比率",SUMIF(INDIRECT("'"&amp;D33&amp;"'"&amp;"!b:b"),"土地收益比率",INDIRECT("'"&amp;D33&amp;"'"&amp;"!c:c")),SUMIF(INDIRECT("'"&amp;D33&amp;"'"&amp;"!b:b"),"土地成本比率",INDIRECT("'"&amp;D33&amp;"'"&amp;"!c:c"))))</f>
        <v>0.62</v>
      </c>
      <c r="E34" s="2458" t="s">
        <v>2163</v>
      </c>
      <c r="F34" s="2996"/>
      <c r="G34" s="138"/>
      <c r="H34" s="138"/>
      <c r="I34" s="138"/>
    </row>
    <row r="35" spans="1:15" ht="15.75" thickBot="1">
      <c r="A35" s="2459"/>
      <c r="B35" s="2460" t="s">
        <v>2164</v>
      </c>
      <c r="C35" s="1444">
        <f ca="1">IF(C33="自定义",F35,ROUND(C32*D35,0))</f>
        <v>295</v>
      </c>
      <c r="D35" s="1445">
        <f ca="1">IF(C33="自定义",ROUND(C35/C32,3),IF(C33="收益比率",SUMIF(INDIRECT("'"&amp;D33&amp;"'"&amp;"!b:b"),"建筑物收益比率",INDIRECT("'"&amp;D33&amp;"'"&amp;"!c:c")),SUMIF(INDIRECT("'"&amp;D33&amp;"'"&amp;"!b:b"),"建筑物成本比率",INDIRECT("'"&amp;D33&amp;"'"&amp;"!c:c"))))</f>
        <v>0.38</v>
      </c>
      <c r="E35" s="2461" t="s">
        <v>2165</v>
      </c>
      <c r="F35" s="163"/>
      <c r="G35" s="138"/>
      <c r="H35" s="138"/>
      <c r="I35" s="138"/>
    </row>
    <row r="36" spans="1:15" ht="15.75" thickBot="1">
      <c r="A36" s="3117" t="s">
        <v>2166</v>
      </c>
      <c r="B36" s="2462" t="s">
        <v>2167</v>
      </c>
      <c r="C36" s="154"/>
      <c r="D36" s="2463"/>
      <c r="E36" s="2464"/>
      <c r="F36" s="2465"/>
      <c r="G36" s="138"/>
      <c r="H36" s="138"/>
      <c r="I36" s="138"/>
    </row>
    <row r="37" spans="1:15" ht="15.75" thickBot="1">
      <c r="A37" s="3118"/>
      <c r="B37" s="2268" t="s">
        <v>2168</v>
      </c>
      <c r="C37" s="156"/>
      <c r="D37" s="1395"/>
      <c r="E37" s="1395"/>
      <c r="F37" s="2465"/>
      <c r="G37" s="138"/>
      <c r="H37" s="138"/>
      <c r="I37" s="138"/>
    </row>
    <row r="38" spans="1:15" ht="15.75" thickBot="1">
      <c r="A38" s="3119"/>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6" t="s">
        <v>2180</v>
      </c>
      <c r="B45" s="3097"/>
      <c r="C45" s="3098"/>
      <c r="D45" s="164">
        <f ca="1">ROUND(H101*F45,0)</f>
        <v>776</v>
      </c>
      <c r="E45" s="165" t="s">
        <v>2181</v>
      </c>
      <c r="F45" s="166">
        <v>1</v>
      </c>
      <c r="G45" s="167" t="s">
        <v>2182</v>
      </c>
      <c r="H45" s="138"/>
      <c r="I45" s="138"/>
      <c r="J45" s="3156" t="s">
        <v>2183</v>
      </c>
      <c r="K45" s="3156"/>
      <c r="L45" s="3156"/>
      <c r="M45" s="3156"/>
      <c r="N45" s="3156"/>
      <c r="O45" s="3156"/>
    </row>
    <row r="46" spans="1:15" ht="14.25" customHeight="1">
      <c r="A46" s="3093" t="s">
        <v>2184</v>
      </c>
      <c r="B46" s="3094"/>
      <c r="C46" s="3094"/>
      <c r="D46" s="3094"/>
      <c r="E46" s="3094"/>
      <c r="F46" s="3094"/>
      <c r="G46" s="3095"/>
      <c r="H46" s="2481"/>
      <c r="I46" s="168"/>
      <c r="J46" s="1812">
        <v>1</v>
      </c>
      <c r="K46" s="3156" t="s">
        <v>2185</v>
      </c>
      <c r="L46" s="3156"/>
      <c r="M46" s="3176"/>
      <c r="N46" s="3176"/>
      <c r="O46" s="3176"/>
    </row>
    <row r="47" spans="1:15" ht="12" customHeight="1">
      <c r="A47" s="169" t="s">
        <v>2186</v>
      </c>
      <c r="B47" s="170"/>
      <c r="C47" s="171"/>
      <c r="D47" s="172" t="s">
        <v>2187</v>
      </c>
      <c r="E47" s="24" t="s">
        <v>2188</v>
      </c>
      <c r="F47" s="173" t="s">
        <v>2189</v>
      </c>
      <c r="G47" s="174" t="s">
        <v>2190</v>
      </c>
      <c r="H47" s="2481"/>
      <c r="I47" s="168"/>
      <c r="J47" s="1812">
        <v>2</v>
      </c>
      <c r="K47" s="3156" t="s">
        <v>2191</v>
      </c>
      <c r="L47" s="3156"/>
      <c r="M47" s="3177">
        <f>'数据-取费表'!B2</f>
        <v>43214</v>
      </c>
      <c r="N47" s="3177"/>
      <c r="O47" s="3177"/>
    </row>
    <row r="48" spans="1:15" ht="25.5">
      <c r="A48" s="3124" t="s">
        <v>2192</v>
      </c>
      <c r="B48" s="3107"/>
      <c r="C48" s="3107"/>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56" t="s">
        <v>2195</v>
      </c>
      <c r="L48" s="3156"/>
      <c r="M48" s="3178">
        <f ca="1">H101</f>
        <v>776</v>
      </c>
      <c r="N48" s="3178"/>
      <c r="O48" s="3178"/>
    </row>
    <row r="49" spans="1:35" ht="25.5" customHeight="1">
      <c r="A49" s="176" t="s">
        <v>2196</v>
      </c>
      <c r="B49" s="3092" t="s">
        <v>2197</v>
      </c>
      <c r="C49" s="3092"/>
      <c r="D49" s="177">
        <v>0</v>
      </c>
      <c r="E49" s="23" t="s">
        <v>2198</v>
      </c>
      <c r="F49" s="28" t="s">
        <v>34</v>
      </c>
      <c r="G49" s="3162"/>
      <c r="H49" s="138"/>
      <c r="I49" s="2484"/>
      <c r="J49" s="1812">
        <v>4</v>
      </c>
      <c r="K49" s="3156" t="str">
        <f>IF(项目基本情况!E8="房地产抵押价值","房地产抵押价值","抵押担保权已注销时的房地产抵押价值")</f>
        <v>抵押担保权已注销时的房地产抵押价值</v>
      </c>
      <c r="L49" s="3156"/>
      <c r="M49" s="3178" t="str">
        <f>IF(项目基本情况!E8="房地产抵押价值",H107,H109)</f>
        <v>——</v>
      </c>
      <c r="N49" s="3178"/>
      <c r="O49" s="3178"/>
    </row>
    <row r="50" spans="1:35" ht="25.5" customHeight="1">
      <c r="A50" s="178"/>
      <c r="B50" s="3092" t="s">
        <v>2199</v>
      </c>
      <c r="C50" s="3092"/>
      <c r="D50" s="179"/>
      <c r="E50" s="31"/>
      <c r="F50" s="180"/>
      <c r="G50" s="3163"/>
      <c r="H50" s="138"/>
      <c r="I50" s="2484"/>
      <c r="J50" s="3156" t="s">
        <v>2200</v>
      </c>
      <c r="K50" s="3156"/>
      <c r="L50" s="3156"/>
      <c r="M50" s="3156"/>
      <c r="N50" s="3156"/>
      <c r="O50" s="3156"/>
    </row>
    <row r="51" spans="1:35" ht="12" customHeight="1">
      <c r="A51" s="181"/>
      <c r="B51" s="3092" t="s">
        <v>2201</v>
      </c>
      <c r="C51" s="3092"/>
      <c r="D51" s="182"/>
      <c r="E51" s="30"/>
      <c r="F51" s="180"/>
      <c r="G51" s="3164"/>
      <c r="H51" s="138"/>
      <c r="I51" s="2484"/>
      <c r="J51" s="2485" t="s">
        <v>2202</v>
      </c>
      <c r="K51" s="3156" t="s">
        <v>2203</v>
      </c>
      <c r="L51" s="3156"/>
      <c r="M51" s="2485" t="s">
        <v>2204</v>
      </c>
      <c r="N51" s="2485" t="s">
        <v>2205</v>
      </c>
      <c r="O51" s="2485" t="s">
        <v>2206</v>
      </c>
    </row>
    <row r="52" spans="1:35" ht="24" customHeight="1">
      <c r="A52" s="183" t="s">
        <v>2207</v>
      </c>
      <c r="B52" s="3092" t="s">
        <v>2208</v>
      </c>
      <c r="C52" s="3092"/>
      <c r="D52" s="182">
        <f ca="1">ROUND(D45*'数据-取费表'!B41/(1+'数据-取费表'!C42),0)</f>
        <v>41</v>
      </c>
      <c r="E52" s="11" t="s">
        <v>2209</v>
      </c>
      <c r="F52" s="184">
        <f>'数据-取费表'!B41</f>
        <v>5.6000000000000001E-2</v>
      </c>
      <c r="G52" s="2486"/>
      <c r="H52" s="138"/>
      <c r="I52" s="2484"/>
      <c r="J52" s="1812">
        <v>1</v>
      </c>
      <c r="K52" s="3157" t="s">
        <v>2210</v>
      </c>
      <c r="L52" s="3157"/>
      <c r="M52" s="1754">
        <f>D48</f>
        <v>0</v>
      </c>
      <c r="N52" s="1812" t="str">
        <f>E48</f>
        <v>销售额×税（费）率</v>
      </c>
      <c r="O52" s="1755" t="str">
        <f>F48</f>
        <v>免征</v>
      </c>
    </row>
    <row r="53" spans="1:35" ht="12" customHeight="1">
      <c r="A53" s="183" t="s">
        <v>2211</v>
      </c>
      <c r="B53" s="3115" t="s">
        <v>2212</v>
      </c>
      <c r="C53" s="3116"/>
      <c r="D53" s="182">
        <f ca="1">ROUND(D45*'数据-取费表'!B41/(1+'数据-取费表'!C42),0)</f>
        <v>41</v>
      </c>
      <c r="E53" s="11" t="s">
        <v>2209</v>
      </c>
      <c r="F53" s="184">
        <f>'数据-取费表'!B41</f>
        <v>5.6000000000000001E-2</v>
      </c>
      <c r="G53" s="2486"/>
      <c r="H53" s="138"/>
      <c r="I53" s="2484"/>
      <c r="J53" s="1812">
        <v>2</v>
      </c>
      <c r="K53" s="3157" t="s">
        <v>2213</v>
      </c>
      <c r="L53" s="3157"/>
      <c r="M53" s="1754">
        <f t="shared" ref="M53:O54" ca="1" si="0">D55</f>
        <v>0</v>
      </c>
      <c r="N53" s="1812" t="str">
        <f t="shared" si="0"/>
        <v>销售额×税（费）率</v>
      </c>
      <c r="O53" s="1755">
        <f t="shared" si="0"/>
        <v>5.0000000000000001E-4</v>
      </c>
    </row>
    <row r="54" spans="1:35" ht="12" customHeight="1">
      <c r="A54" s="183" t="s">
        <v>2214</v>
      </c>
      <c r="B54" s="3115" t="s">
        <v>2215</v>
      </c>
      <c r="C54" s="3116"/>
      <c r="D54" s="182">
        <f ca="1">C68</f>
        <v>41</v>
      </c>
      <c r="E54" s="30" t="s">
        <v>2216</v>
      </c>
      <c r="F54" s="184">
        <f>'数据-取费表'!B41</f>
        <v>5.6000000000000001E-2</v>
      </c>
      <c r="G54" s="2486"/>
      <c r="H54" s="2487"/>
      <c r="I54" s="2484"/>
      <c r="J54" s="1812">
        <v>3</v>
      </c>
      <c r="K54" s="3157" t="s">
        <v>2217</v>
      </c>
      <c r="L54" s="3157"/>
      <c r="M54" s="1754">
        <f t="shared" ca="1" si="0"/>
        <v>440</v>
      </c>
      <c r="N54" s="1812" t="str">
        <f t="shared" si="0"/>
        <v>增值额×税（费）率</v>
      </c>
      <c r="O54" s="1756" t="str">
        <f t="shared" si="0"/>
        <v>——</v>
      </c>
    </row>
    <row r="55" spans="1:35" ht="24" customHeight="1">
      <c r="A55" s="3106" t="s">
        <v>2218</v>
      </c>
      <c r="B55" s="3107"/>
      <c r="C55" s="3107"/>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57" t="str">
        <f>IF(H59="非个人房产","——","个人所得税")</f>
        <v>——</v>
      </c>
      <c r="L55" s="3157"/>
      <c r="M55" s="1757" t="str">
        <f>D59</f>
        <v>——</v>
      </c>
      <c r="N55" s="1810" t="str">
        <f>E59</f>
        <v>——</v>
      </c>
      <c r="O55" s="1758" t="str">
        <f>F59</f>
        <v>——</v>
      </c>
    </row>
    <row r="56" spans="1:35" ht="24.75">
      <c r="A56" s="3106" t="s">
        <v>2221</v>
      </c>
      <c r="B56" s="3107"/>
      <c r="C56" s="3107"/>
      <c r="D56" s="185">
        <f ca="1">IF(H56="个人住宅",D57,D58)</f>
        <v>440</v>
      </c>
      <c r="E56" s="11" t="s">
        <v>2222</v>
      </c>
      <c r="F56" s="184" t="str">
        <f>IF(H56="正常",F58,"免征")</f>
        <v>——</v>
      </c>
      <c r="G56" s="2488" t="s">
        <v>2223</v>
      </c>
      <c r="H56" s="2489" t="s">
        <v>2220</v>
      </c>
      <c r="I56" s="2490"/>
      <c r="J56" s="1812" t="str">
        <f>IF(项目基本情况!K6="上海银行",IF(J55="",4,J55+1),"")</f>
        <v/>
      </c>
      <c r="K56" s="3180" t="str">
        <f>IF(项目基本情况!K6="上海银行","其他处置费用","")</f>
        <v/>
      </c>
      <c r="L56" s="3181"/>
      <c r="M56" s="1754" t="str">
        <f>IF(项目基本情况!K6="上海银行",M69,"")</f>
        <v/>
      </c>
      <c r="N56" s="3183" t="str">
        <f>IF(项目基本情况!K6="上海银行","包含处置中涉及的律师、诉讼、拍卖、评估等费用","")</f>
        <v/>
      </c>
      <c r="O56" s="3184"/>
    </row>
    <row r="57" spans="1:35" ht="12.75">
      <c r="A57" s="183" t="s">
        <v>2196</v>
      </c>
      <c r="B57" s="3122" t="s">
        <v>2224</v>
      </c>
      <c r="C57" s="3131"/>
      <c r="D57" s="187">
        <v>0</v>
      </c>
      <c r="E57" s="23" t="s">
        <v>2198</v>
      </c>
      <c r="F57" s="155"/>
      <c r="G57" s="2486"/>
      <c r="H57" s="2490"/>
      <c r="I57" s="2490"/>
      <c r="J57" s="3157">
        <f>IF(AND(J55="",J56=""),4,IF(项目基本情况!K6="上海银行",结果表!J56+1,结果表!J55+1))</f>
        <v>4</v>
      </c>
      <c r="K57" s="3157" t="s">
        <v>2225</v>
      </c>
      <c r="L57" s="2491" t="s">
        <v>2226</v>
      </c>
      <c r="M57" s="1759"/>
      <c r="N57" s="1760">
        <f ca="1">SUMIF(M52:M56,"&lt;9e307")</f>
        <v>440</v>
      </c>
      <c r="O57" s="2492"/>
      <c r="P57" s="1753" t="e">
        <f ca="1">N57/M49</f>
        <v>#VALUE!</v>
      </c>
    </row>
    <row r="58" spans="1:35" ht="24.75">
      <c r="A58" s="183" t="s">
        <v>2207</v>
      </c>
      <c r="B58" s="3122" t="s">
        <v>2227</v>
      </c>
      <c r="C58" s="3123"/>
      <c r="D58" s="185">
        <f ca="1">IF(H58="转让取得",C81,C97)</f>
        <v>440</v>
      </c>
      <c r="E58" s="11" t="s">
        <v>2222</v>
      </c>
      <c r="F58" s="24" t="s">
        <v>34</v>
      </c>
      <c r="G58" s="2486"/>
      <c r="H58" s="2489" t="s">
        <v>2228</v>
      </c>
      <c r="I58" s="2490"/>
      <c r="J58" s="3157"/>
      <c r="K58" s="3157"/>
      <c r="L58" s="2491" t="s">
        <v>2229</v>
      </c>
      <c r="M58" s="1761"/>
      <c r="N58" s="2493" t="str">
        <f ca="1">NUMBERSTRING(INT(N57*10000),2)&amp;"元整"</f>
        <v>肆佰肆拾万元整</v>
      </c>
      <c r="O58" s="2494"/>
    </row>
    <row r="59" spans="1:35" ht="24.75" thickBot="1">
      <c r="A59" s="3160" t="s">
        <v>2230</v>
      </c>
      <c r="B59" s="3161"/>
      <c r="C59" s="3161"/>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58">
        <f>J57+1</f>
        <v>5</v>
      </c>
      <c r="K59" s="3157" t="s">
        <v>2232</v>
      </c>
      <c r="L59" s="1812" t="s">
        <v>2226</v>
      </c>
      <c r="M59" s="1762"/>
      <c r="N59" s="1763" t="e">
        <f ca="1">M49-N57</f>
        <v>#VALUE!</v>
      </c>
      <c r="O59" s="2496"/>
    </row>
    <row r="60" spans="1:35" ht="12" customHeight="1">
      <c r="A60" s="2497"/>
      <c r="B60" s="2419"/>
      <c r="C60" s="2419"/>
      <c r="D60" s="2419"/>
      <c r="E60" s="2167"/>
      <c r="F60" s="2490"/>
      <c r="G60" s="2490"/>
      <c r="H60" s="2498"/>
      <c r="I60" s="138"/>
      <c r="J60" s="3159"/>
      <c r="K60" s="3157"/>
      <c r="L60" s="2491" t="s">
        <v>2229</v>
      </c>
      <c r="M60" s="1761"/>
      <c r="N60" s="2493" t="e">
        <f ca="1">NUMBERSTRING(INT(N59*10000),2)&amp;"元整"</f>
        <v>#VALUE!</v>
      </c>
      <c r="O60" s="2494"/>
    </row>
    <row r="61" spans="1:35" ht="13.5" thickBot="1">
      <c r="A61" s="3104" t="s">
        <v>2233</v>
      </c>
      <c r="B61" s="3104"/>
      <c r="C61" s="3104"/>
      <c r="D61" s="3104"/>
      <c r="E61" s="3104"/>
      <c r="F61" s="2490"/>
      <c r="G61" s="2490"/>
      <c r="H61" s="2498"/>
      <c r="I61" s="138"/>
      <c r="J61" s="1812">
        <f>J59+1</f>
        <v>6</v>
      </c>
      <c r="K61" s="3157" t="s">
        <v>2234</v>
      </c>
      <c r="L61" s="3157"/>
      <c r="M61" s="1764"/>
      <c r="N61" s="1765" t="e">
        <f ca="1">ROUND(N59*10000/'数据-汇总表'!E3,0)</f>
        <v>#VALUE!</v>
      </c>
      <c r="O61" s="2499"/>
    </row>
    <row r="62" spans="1:35" ht="12.75">
      <c r="A62" s="3120" t="s">
        <v>2235</v>
      </c>
      <c r="B62" s="3121"/>
      <c r="C62" s="1804"/>
      <c r="D62" s="1804" t="s">
        <v>2236</v>
      </c>
      <c r="E62" s="192" t="s">
        <v>2237</v>
      </c>
      <c r="F62" s="2490"/>
      <c r="G62" s="2490"/>
      <c r="H62" s="2498"/>
      <c r="I62" s="138"/>
    </row>
    <row r="63" spans="1:35" ht="12.75">
      <c r="A63" s="203" t="s">
        <v>775</v>
      </c>
      <c r="B63" s="193" t="s">
        <v>2238</v>
      </c>
      <c r="C63" s="194">
        <f ca="1">ROUND((C64+C65)/(1+'数据-取费表'!C42),0)</f>
        <v>739</v>
      </c>
      <c r="D63" s="195"/>
      <c r="E63" s="196"/>
      <c r="F63" s="2490"/>
      <c r="G63" s="2490"/>
      <c r="H63" s="2498"/>
      <c r="I63" s="138"/>
      <c r="J63" s="3182"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776</v>
      </c>
      <c r="D64" s="200" t="s">
        <v>32</v>
      </c>
      <c r="E64" s="201"/>
      <c r="F64" s="2490"/>
      <c r="G64" s="2490"/>
      <c r="H64" s="2498"/>
      <c r="I64" s="138"/>
      <c r="J64" s="3182"/>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2"/>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2"/>
      <c r="K66" s="2500" t="s">
        <v>2247</v>
      </c>
      <c r="L66" s="1752" t="e">
        <f>M49*0.5%</f>
        <v>#VALUE!</v>
      </c>
      <c r="M66" s="24" t="e">
        <f>IF(L66&gt;0.5,0.5,ROUND(L66,0))</f>
        <v>#VALUE!</v>
      </c>
      <c r="N66" s="138" t="s">
        <v>2248</v>
      </c>
      <c r="Z66" s="2424"/>
      <c r="AI66" s="2425"/>
    </row>
    <row r="67" spans="1:35" ht="14.25" customHeight="1">
      <c r="A67" s="203" t="s">
        <v>773</v>
      </c>
      <c r="B67" s="204" t="s">
        <v>2249</v>
      </c>
      <c r="C67" s="207">
        <f ca="1">C63-C66</f>
        <v>739</v>
      </c>
      <c r="D67" s="200" t="s">
        <v>32</v>
      </c>
      <c r="E67" s="201"/>
      <c r="F67" s="2490"/>
      <c r="G67" s="2490"/>
      <c r="H67" s="2498"/>
      <c r="I67" s="138"/>
      <c r="J67" s="3182"/>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41</v>
      </c>
      <c r="D68" s="211">
        <f>'数据-取费表'!B41</f>
        <v>5.6000000000000001E-2</v>
      </c>
      <c r="E68" s="212"/>
      <c r="F68" s="2490"/>
      <c r="G68" s="2490"/>
      <c r="H68" s="2498"/>
      <c r="I68" s="138"/>
      <c r="J68" s="3182"/>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2"/>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1" t="s">
        <v>2254</v>
      </c>
      <c r="B70" s="3142"/>
      <c r="C70" s="3142"/>
      <c r="D70" s="3142"/>
      <c r="E70" s="3142"/>
      <c r="F70" s="3142"/>
      <c r="G70" s="3142"/>
      <c r="H70" s="314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0" t="s">
        <v>2235</v>
      </c>
      <c r="B71" s="3121"/>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739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5" t="s">
        <v>2263</v>
      </c>
      <c r="F76" s="3092"/>
      <c r="G76" s="3092"/>
      <c r="H76" s="314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4</v>
      </c>
      <c r="D78" s="226">
        <f>'数据-取费表'!B43</f>
        <v>6.000000000000001E-3</v>
      </c>
      <c r="E78" s="3101" t="s">
        <v>2268</v>
      </c>
      <c r="F78" s="3102"/>
      <c r="G78" s="3102"/>
      <c r="H78" s="311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735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183.75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1" t="s">
        <v>2272</v>
      </c>
      <c r="B83" s="3142"/>
      <c r="C83" s="3142"/>
      <c r="D83" s="3142"/>
      <c r="E83" s="3142"/>
      <c r="F83" s="3142"/>
      <c r="G83" s="3142"/>
      <c r="H83" s="314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0" t="s">
        <v>2235</v>
      </c>
      <c r="B84" s="3121"/>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739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1" t="s">
        <v>2281</v>
      </c>
      <c r="F91" s="3102"/>
      <c r="G91" s="3102"/>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1" t="s">
        <v>2285</v>
      </c>
      <c r="F92" s="3102"/>
      <c r="G92" s="3102"/>
      <c r="H92" s="311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4</v>
      </c>
      <c r="D93" s="226">
        <f>'数据-取费表'!B43</f>
        <v>6.000000000000001E-3</v>
      </c>
      <c r="E93" s="3101" t="s">
        <v>2268</v>
      </c>
      <c r="F93" s="3102"/>
      <c r="G93" s="3102"/>
      <c r="H93" s="311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2" t="s">
        <v>2289</v>
      </c>
      <c r="F94" s="3113"/>
      <c r="G94" s="3113"/>
      <c r="H94" s="311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735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183.75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03"/>
      <c r="E100" s="3087" t="s">
        <v>2292</v>
      </c>
      <c r="F100" s="3087"/>
      <c r="G100" s="3087"/>
      <c r="H100" s="3103"/>
      <c r="I100" s="138"/>
    </row>
    <row r="101" spans="1:35" ht="18.75" customHeight="1">
      <c r="A101" s="3165" t="s">
        <v>2293</v>
      </c>
      <c r="B101" s="3166"/>
      <c r="C101" s="736" t="str">
        <f>C4</f>
        <v>比较法-商业</v>
      </c>
      <c r="D101" s="737" t="str">
        <f>D4</f>
        <v>收益法 (元)</v>
      </c>
      <c r="E101" s="3179" t="s">
        <v>2294</v>
      </c>
      <c r="F101" s="3133"/>
      <c r="G101" s="2521" t="s">
        <v>2295</v>
      </c>
      <c r="H101" s="1048">
        <f ca="1">H118</f>
        <v>776</v>
      </c>
      <c r="I101" s="138"/>
    </row>
    <row r="102" spans="1:35" ht="18.75" customHeight="1">
      <c r="A102" s="3135" t="s">
        <v>2296</v>
      </c>
      <c r="B102" s="2521" t="s">
        <v>2295</v>
      </c>
      <c r="C102" s="736">
        <f ca="1">C19</f>
        <v>928</v>
      </c>
      <c r="D102" s="737">
        <f ca="1">D19</f>
        <v>548</v>
      </c>
      <c r="E102" s="3179"/>
      <c r="F102" s="3133"/>
      <c r="G102" s="2521" t="s">
        <v>2297</v>
      </c>
      <c r="H102" s="371">
        <f ca="1">I118</f>
        <v>22180</v>
      </c>
      <c r="I102" s="138"/>
    </row>
    <row r="103" spans="1:35" ht="42.75" customHeight="1">
      <c r="A103" s="3135"/>
      <c r="B103" s="2521" t="s">
        <v>2297</v>
      </c>
      <c r="C103" s="738">
        <f ca="1">C20</f>
        <v>26524</v>
      </c>
      <c r="D103" s="739">
        <f ca="1">D20</f>
        <v>15673</v>
      </c>
      <c r="E103" s="3174" t="s">
        <v>2298</v>
      </c>
      <c r="F103" s="3175"/>
      <c r="G103" s="2522" t="s">
        <v>2299</v>
      </c>
      <c r="H103" s="1048">
        <f>IF(D36="正常操作",H104+H105+H106,H105+H106)</f>
        <v>0</v>
      </c>
      <c r="I103" s="138"/>
    </row>
    <row r="104" spans="1:35" ht="18.75" customHeight="1">
      <c r="A104" s="3135" t="s">
        <v>2300</v>
      </c>
      <c r="B104" s="2523" t="s">
        <v>2295</v>
      </c>
      <c r="C104" s="740">
        <f ca="1">H118</f>
        <v>776</v>
      </c>
      <c r="D104" s="741"/>
      <c r="E104" s="2268" t="s">
        <v>2301</v>
      </c>
      <c r="F104" s="2259"/>
      <c r="G104" s="2522" t="s">
        <v>2299</v>
      </c>
      <c r="H104" s="1049">
        <f>IF(D36="同一抵押权人同一抵押物续贷",C36&amp;"（未扣减，详见特别提示）",C36)</f>
        <v>0</v>
      </c>
      <c r="I104" s="138"/>
    </row>
    <row r="105" spans="1:35" ht="18.75" customHeight="1" thickBot="1">
      <c r="A105" s="3136"/>
      <c r="B105" s="2524" t="s">
        <v>2297</v>
      </c>
      <c r="C105" s="742">
        <f ca="1">I118</f>
        <v>22180</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2" t="str">
        <f>IF(项目基本情况!E8="已注销","——","3.房地产抵押价值")</f>
        <v>3.房地产抵押价值</v>
      </c>
      <c r="F107" s="3133"/>
      <c r="G107" s="2521" t="s">
        <v>2295</v>
      </c>
      <c r="H107" s="1048">
        <f ca="1">IF(E107="——","——",H101-H103)</f>
        <v>776</v>
      </c>
      <c r="I107" s="138"/>
    </row>
    <row r="108" spans="1:35" ht="18.75" customHeight="1">
      <c r="A108" s="138"/>
      <c r="B108" s="138"/>
      <c r="C108" s="138"/>
      <c r="D108" s="138"/>
      <c r="E108" s="3132"/>
      <c r="F108" s="3133"/>
      <c r="G108" s="2521" t="s">
        <v>2297</v>
      </c>
      <c r="H108" s="371">
        <f ca="1">ROUND(H107*10000/'数据-汇总表'!E3,0)</f>
        <v>2934</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1" t="s">
        <v>2295</v>
      </c>
      <c r="H109" s="348" t="str">
        <f>IF(E109="——","——",H101-H105-H106)</f>
        <v>——</v>
      </c>
      <c r="I109" s="138"/>
    </row>
    <row r="110" spans="1:35" ht="18.75" customHeight="1">
      <c r="A110" s="138"/>
      <c r="B110" s="138"/>
      <c r="C110" s="138"/>
      <c r="D110" s="138"/>
      <c r="E110" s="3132"/>
      <c r="F110" s="3133"/>
      <c r="G110" s="2521" t="s">
        <v>2297</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21" t="s">
        <v>2295</v>
      </c>
      <c r="H111" s="1048" t="str">
        <f>IF(E111="——","——",N59)</f>
        <v>——</v>
      </c>
      <c r="I111" s="138"/>
    </row>
    <row r="112" spans="1:35" ht="18.75" customHeight="1" thickBot="1">
      <c r="A112" s="138"/>
      <c r="B112" s="138"/>
      <c r="C112" s="138"/>
      <c r="D112" s="138"/>
      <c r="E112" s="3169"/>
      <c r="F112" s="3170"/>
      <c r="G112" s="2526" t="s">
        <v>2297</v>
      </c>
      <c r="H112" s="790" t="str">
        <f>IF(E111="——","——",N61)</f>
        <v>——</v>
      </c>
      <c r="I112" s="138"/>
    </row>
    <row r="113" spans="1:11" ht="18.75" customHeight="1">
      <c r="A113" s="138"/>
      <c r="B113" s="138"/>
      <c r="C113" s="138"/>
      <c r="D113" s="138"/>
      <c r="E113" s="3137" t="s">
        <v>2303</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2305</v>
      </c>
      <c r="B115" s="3151"/>
      <c r="C115" s="3151"/>
      <c r="D115" s="3151"/>
      <c r="E115" s="3151"/>
      <c r="F115" s="3151"/>
      <c r="G115" s="3151"/>
      <c r="H115" s="3151"/>
      <c r="I115" s="3152"/>
    </row>
    <row r="116" spans="1:11" ht="27" customHeight="1">
      <c r="A116" s="3043" t="s">
        <v>2306</v>
      </c>
      <c r="B116" s="3138" t="s">
        <v>2307</v>
      </c>
      <c r="C116" s="3138" t="s">
        <v>2308</v>
      </c>
      <c r="D116" s="3154" t="s">
        <v>2309</v>
      </c>
      <c r="E116" s="3155"/>
      <c r="F116" s="3146" t="s">
        <v>2310</v>
      </c>
      <c r="G116" s="3146"/>
      <c r="H116" s="3043" t="s">
        <v>2311</v>
      </c>
      <c r="I116" s="3043"/>
    </row>
    <row r="117" spans="1:11" ht="18.75" customHeight="1">
      <c r="A117" s="3043"/>
      <c r="B117" s="3139"/>
      <c r="C117" s="3139"/>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481</v>
      </c>
      <c r="E118" s="1798">
        <f ca="1">ROUND(IF(C33="自定义",IF(D32="楼面单价",C34,D118*10000/B118),I118-G118),0)</f>
        <v>13748</v>
      </c>
      <c r="F118" s="1798">
        <f ca="1">ROUND(IF(D32="总价",C35,G118*B118/10000),0)</f>
        <v>295</v>
      </c>
      <c r="G118" s="1798">
        <f ca="1">ROUND(IF(D32="楼面单价",C35,F118*10000/B118),0)</f>
        <v>8432</v>
      </c>
      <c r="H118" s="1798">
        <f ca="1">ROUND(IF(D32="总价",C32,I118*B118/10000),0)</f>
        <v>776</v>
      </c>
      <c r="I118" s="1798">
        <f ca="1">ROUND(IF(D32="楼面单价",C32,H118*10000/B118),0)</f>
        <v>22180</v>
      </c>
    </row>
    <row r="119" spans="1:11" ht="18.75" customHeight="1">
      <c r="A119" s="3043" t="s">
        <v>2315</v>
      </c>
      <c r="B119" s="3043"/>
      <c r="C119" s="3043"/>
      <c r="D119" s="3143" t="str">
        <f ca="1">NUMBERSTRING(INT(D118*10000),2)&amp;"元整"</f>
        <v>肆佰捌拾壹万元整</v>
      </c>
      <c r="E119" s="3145"/>
      <c r="F119" s="3143" t="str">
        <f ca="1">NUMBERSTRING(INT(F118*10000),2)&amp;"元整"</f>
        <v>贰佰玖拾伍万元整</v>
      </c>
      <c r="G119" s="3145"/>
      <c r="H119" s="3143" t="str">
        <f ca="1">NUMBERSTRING(INT(H118*10000),2)&amp;"元整"</f>
        <v>柒佰柒拾陆万元整</v>
      </c>
      <c r="I119" s="3145"/>
    </row>
    <row r="120" spans="1:11" ht="18.75" customHeight="1">
      <c r="A120" s="3171" t="str">
        <f>IF(项目基本情况!B9="房地产市场价值","",MID(E103,3,LEN(E103)-2))</f>
        <v/>
      </c>
      <c r="B120" s="3172"/>
      <c r="C120" s="3173"/>
      <c r="D120" s="3171">
        <f>H103</f>
        <v>0</v>
      </c>
      <c r="E120" s="3172"/>
      <c r="F120" s="3172"/>
      <c r="G120" s="3172"/>
      <c r="H120" s="3172"/>
      <c r="I120" s="3173"/>
      <c r="K120" s="2424" t="str">
        <f>IF(D120=0,"故，本次评估不存在"&amp;A120,"故，本次评估"&amp;A120&amp;"为人民币"&amp;D120&amp;"万元整。")</f>
        <v>故，本次评估不存在</v>
      </c>
    </row>
    <row r="121" spans="1:11" ht="18.75" customHeight="1">
      <c r="A121" s="3147" t="s">
        <v>2315</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
      </c>
      <c r="B122" s="3134"/>
      <c r="C122" s="3134"/>
      <c r="D122" s="3171">
        <f ca="1">H107</f>
        <v>776</v>
      </c>
      <c r="E122" s="3172"/>
      <c r="F122" s="3172"/>
      <c r="G122" s="3172"/>
      <c r="H122" s="3172"/>
      <c r="I122" s="3173"/>
    </row>
    <row r="123" spans="1:11" ht="18.75" customHeight="1">
      <c r="A123" s="3043" t="s">
        <v>2315</v>
      </c>
      <c r="B123" s="3043"/>
      <c r="C123" s="3043"/>
      <c r="D123" s="3143" t="str">
        <f ca="1">NUMBERSTRING(INT(D122*10000),2)&amp;"元整"</f>
        <v>柒佰柒拾陆万元整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2315</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2315</v>
      </c>
      <c r="B127" s="3043"/>
      <c r="C127" s="3043"/>
      <c r="D127" s="3143" t="e">
        <f>NUMBERSTRING(INT(D126*10000),2)&amp;"元整"</f>
        <v>#VALUE!</v>
      </c>
      <c r="E127" s="3144"/>
      <c r="F127" s="3144"/>
      <c r="G127" s="3144"/>
      <c r="H127" s="3144"/>
      <c r="I127" s="3145"/>
    </row>
    <row r="128" spans="1:11" ht="21.75" customHeight="1">
      <c r="A128" s="3153" t="s">
        <v>2316</v>
      </c>
      <c r="B128" s="3153"/>
      <c r="C128" s="3153"/>
      <c r="D128" s="3153"/>
      <c r="E128" s="3153"/>
      <c r="F128" s="3153"/>
      <c r="G128" s="3153"/>
      <c r="H128" s="3153"/>
      <c r="I128" s="315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1151</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4352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95</v>
      </c>
      <c r="D10" s="1035">
        <f ca="1">IF(B1="",'数据-汇总表'!E6,IF(INDIRECT("'数据-取费表'!c"&amp;$G$1)="住宅",INDIRECT("'数据-取费表'!s"&amp;$G$1),INDIRECT("'数据-取费表'!k"&amp;$G$1)+INDIRECT("'数据-取费表'!s"&amp;$G$1)))</f>
        <v>2644.5600000000004</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95</v>
      </c>
      <c r="D19" s="1039">
        <f ca="1">D9+D10</f>
        <v>2644.5600000000004</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4</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772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688</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53</v>
      </c>
      <c r="D37" s="261">
        <f ca="1">D19</f>
        <v>2644.5600000000004</v>
      </c>
      <c r="E37" s="293">
        <f>'数据-取费表'!B35</f>
        <v>200</v>
      </c>
      <c r="F37" s="303"/>
      <c r="G37" s="305" t="s">
        <v>2395</v>
      </c>
    </row>
    <row r="38" spans="1:7" ht="13.5" customHeight="1">
      <c r="A38" s="954" t="s">
        <v>799</v>
      </c>
      <c r="B38" s="259" t="s">
        <v>2396</v>
      </c>
      <c r="C38" s="264">
        <f ca="1">ROUND(C34*F38,0)</f>
        <v>10</v>
      </c>
      <c r="D38" s="264"/>
      <c r="E38" s="264"/>
      <c r="F38" s="303">
        <f>'数据-取费表'!B36</f>
        <v>1.4999999999999999E-2</v>
      </c>
      <c r="G38" s="263" t="s">
        <v>2391</v>
      </c>
    </row>
    <row r="39" spans="1:7" s="258" customFormat="1" ht="13.5" customHeight="1">
      <c r="A39" s="299" t="s">
        <v>2397</v>
      </c>
      <c r="B39" s="254" t="s">
        <v>2398</v>
      </c>
      <c r="C39" s="276">
        <f ca="1">ROUND(C33*F20,0)</f>
        <v>15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17</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17</v>
      </c>
      <c r="D42" s="282"/>
      <c r="E42" s="282"/>
      <c r="F42" s="283"/>
      <c r="G42" s="3185" t="s">
        <v>2407</v>
      </c>
    </row>
    <row r="43" spans="1:7" ht="13.5" customHeight="1">
      <c r="A43" s="954" t="s">
        <v>792</v>
      </c>
      <c r="B43" s="259" t="s">
        <v>2408</v>
      </c>
      <c r="C43" s="282">
        <f ca="1">ROUND(IF('数据-取费表'!B22&lt;=1,C39*F22*'数据-取费表'!B21/2,C39*(POWER((1+F22),'数据-取费表'!B21/2)-1)),0)</f>
        <v>0</v>
      </c>
      <c r="D43" s="282"/>
      <c r="E43" s="282"/>
      <c r="F43" s="283"/>
      <c r="G43" s="3186"/>
    </row>
    <row r="44" spans="1:7" ht="13.5" customHeight="1">
      <c r="A44" s="954" t="s">
        <v>793</v>
      </c>
      <c r="B44" s="259" t="s">
        <v>2409</v>
      </c>
      <c r="C44" s="282">
        <f ca="1">ROUND(IF('数据-取费表'!B22&lt;=1,C40*F22*'数据-取费表'!B21/2,C40*(POWER((1+F22),'数据-取费表'!B21/2)-1)),4)</f>
        <v>4.0000000000000002E-4</v>
      </c>
      <c r="D44" s="282"/>
      <c r="E44" s="282"/>
      <c r="F44" s="283"/>
      <c r="G44" s="3187"/>
    </row>
    <row r="45" spans="1:7" s="258" customFormat="1" ht="13.5" customHeight="1">
      <c r="A45" s="299" t="s">
        <v>2410</v>
      </c>
      <c r="B45" s="288" t="s">
        <v>2376</v>
      </c>
      <c r="C45" s="289">
        <f ca="1">C46</f>
        <v>157</v>
      </c>
      <c r="D45" s="279">
        <f ca="1">C47</f>
        <v>4.0000000000000001E-3</v>
      </c>
      <c r="E45" s="280" t="s">
        <v>2402</v>
      </c>
      <c r="F45" s="290"/>
      <c r="G45" s="291" t="s">
        <v>2411</v>
      </c>
    </row>
    <row r="46" spans="1:7" s="258" customFormat="1" ht="13.5" customHeight="1">
      <c r="A46" s="954" t="s">
        <v>791</v>
      </c>
      <c r="B46" s="292" t="s">
        <v>2412</v>
      </c>
      <c r="C46" s="293">
        <f ca="1">ROUND((C33+C39)*F27,0)</f>
        <v>157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1042</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1021</v>
      </c>
      <c r="D51" s="276"/>
      <c r="E51" s="276"/>
      <c r="F51" s="308"/>
      <c r="G51" s="278" t="s">
        <v>2423</v>
      </c>
    </row>
    <row r="52" spans="1:7" s="252" customFormat="1" ht="16.5" thickBot="1">
      <c r="A52" s="309" t="s">
        <v>2424</v>
      </c>
      <c r="B52" s="310"/>
      <c r="C52" s="311">
        <f ca="1">C31+C51</f>
        <v>1151</v>
      </c>
      <c r="D52" s="310"/>
      <c r="E52" s="310"/>
      <c r="F52" s="310"/>
      <c r="G52" s="312"/>
    </row>
    <row r="55" spans="1:7" ht="15">
      <c r="B55" s="314" t="s">
        <v>2425</v>
      </c>
      <c r="C55" s="315"/>
    </row>
    <row r="56" spans="1:7">
      <c r="B56" s="317" t="s">
        <v>1513</v>
      </c>
      <c r="C56" s="319">
        <f ca="1">1-C57</f>
        <v>0.11299999999999999</v>
      </c>
    </row>
    <row r="57" spans="1:7">
      <c r="B57" s="317" t="s">
        <v>1514</v>
      </c>
      <c r="C57" s="318">
        <f ca="1">ROUND(C51/C52,3)</f>
        <v>0.88700000000000001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9" t="str">
        <f>项目基本情况!B1</f>
        <v>新疆省昌吉市延安南路46号小区房地产市场价值预评估</v>
      </c>
      <c r="C37" s="2999"/>
      <c r="D37" s="2999"/>
      <c r="E37" s="2999"/>
      <c r="F37" s="2999"/>
      <c r="G37" s="2999"/>
      <c r="H37" s="2999"/>
      <c r="I37" s="2999"/>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1283</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4851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952042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952042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952042</v>
      </c>
      <c r="D10" s="1035">
        <f ca="1">IF(B1="",'数据-汇总表'!E6,IF(INDIRECT("'数据-取费表'!c"&amp;$G$1)="住宅",INDIRECT("'数据-取费表'!s"&amp;$G$1),INDIRECT("'数据-取费表'!k"&amp;$G$1)+INDIRECT("'数据-取费表'!s"&amp;$G$1)))</f>
        <v>2644.5600000000004</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952042</v>
      </c>
      <c r="D19" s="1039">
        <f ca="1">D9+D10</f>
        <v>2644.5600000000004</v>
      </c>
      <c r="E19" s="255">
        <f>'数据-取费表'!B31</f>
        <v>360</v>
      </c>
      <c r="F19" s="275"/>
      <c r="G19" s="2553"/>
    </row>
    <row r="20" spans="1:7" s="258" customFormat="1" ht="13.5" customHeight="1">
      <c r="A20" s="299" t="s">
        <v>2437</v>
      </c>
      <c r="B20" s="254" t="s">
        <v>2438</v>
      </c>
      <c r="C20" s="276">
        <f ca="1">ROUND((C5+C19)*F20,0)</f>
        <v>38082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83656</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41414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41414</v>
      </c>
      <c r="D24" s="282"/>
      <c r="E24" s="282"/>
      <c r="F24" s="283"/>
      <c r="G24" s="284" t="s">
        <v>2449</v>
      </c>
    </row>
    <row r="25" spans="1:7" s="258" customFormat="1" ht="24">
      <c r="A25" s="954" t="s">
        <v>2339</v>
      </c>
      <c r="B25" s="259" t="s">
        <v>2450</v>
      </c>
      <c r="C25" s="1384">
        <f ca="1">ROUND(IF('数据-取费表'!B22&lt;=1,C20*F22*'数据-取费表'!B22/2,C20*(POWER((1+F22),'数据-取费表'!B22/2)-1)),0)</f>
        <v>828</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388433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388433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2617646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7714182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6875856</v>
      </c>
      <c r="D34" s="261"/>
      <c r="E34" s="264"/>
      <c r="F34" s="301"/>
      <c r="G34" s="263"/>
    </row>
    <row r="35" spans="1:7" ht="13.5" customHeight="1">
      <c r="A35" s="954" t="s">
        <v>796</v>
      </c>
      <c r="B35" s="259" t="s">
        <v>2390</v>
      </c>
      <c r="C35" s="264">
        <f ca="1">ROUND(C34*F35,0)</f>
        <v>206276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528912</v>
      </c>
      <c r="D37" s="261">
        <f ca="1">D19</f>
        <v>2644.5600000000004</v>
      </c>
      <c r="E37" s="293">
        <f>'数据-取费表'!B35</f>
        <v>200</v>
      </c>
      <c r="F37" s="303"/>
      <c r="G37" s="305"/>
    </row>
    <row r="38" spans="1:7" ht="13.5" customHeight="1">
      <c r="A38" s="954" t="s">
        <v>799</v>
      </c>
      <c r="B38" s="259" t="s">
        <v>2396</v>
      </c>
      <c r="C38" s="264">
        <f ca="1">ROUND(C34*F38,0)</f>
        <v>103138</v>
      </c>
      <c r="D38" s="264"/>
      <c r="E38" s="264"/>
      <c r="F38" s="303">
        <f>'数据-取费表'!B36</f>
        <v>1.4999999999999999E-2</v>
      </c>
      <c r="G38" s="263" t="s">
        <v>2391</v>
      </c>
    </row>
    <row r="39" spans="1:7" s="258" customFormat="1" ht="13.5" customHeight="1">
      <c r="A39" s="299" t="s">
        <v>2397</v>
      </c>
      <c r="B39" s="254" t="s">
        <v>2398</v>
      </c>
      <c r="C39" s="276">
        <f ca="1">ROUND(C33*F20,0)</f>
        <v>154284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171139</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167783</v>
      </c>
      <c r="D42" s="282"/>
      <c r="E42" s="282"/>
      <c r="F42" s="283"/>
      <c r="G42" s="3185" t="s">
        <v>2454</v>
      </c>
    </row>
    <row r="43" spans="1:7" ht="13.5" customHeight="1">
      <c r="A43" s="954" t="s">
        <v>792</v>
      </c>
      <c r="B43" s="259" t="s">
        <v>2408</v>
      </c>
      <c r="C43" s="282">
        <f ca="1">ROUND(IF('数据-取费表'!B22&lt;=1,C39*F22*'数据-取费表'!B20/2,C39*(POWER((1+F22),'数据-取费表'!B20/2)-1)),0)</f>
        <v>3356</v>
      </c>
      <c r="D43" s="282"/>
      <c r="E43" s="282"/>
      <c r="F43" s="283"/>
      <c r="G43" s="3186"/>
    </row>
    <row r="44" spans="1:7" ht="13.5" customHeight="1">
      <c r="A44" s="954" t="s">
        <v>793</v>
      </c>
      <c r="B44" s="259" t="s">
        <v>2409</v>
      </c>
      <c r="C44" s="282">
        <f ca="1">ROUND(IF('数据-取费表'!B22&lt;=1,C40*F22*'数据-取费表'!B20/2,C40*(POWER((1+F22),'数据-取费表'!B20/2)-1)),4)</f>
        <v>4.0000000000000002E-4</v>
      </c>
      <c r="D44" s="282"/>
      <c r="E44" s="282"/>
      <c r="F44" s="283"/>
      <c r="G44" s="3187"/>
    </row>
    <row r="45" spans="1:7" s="258" customFormat="1" ht="13.5" customHeight="1">
      <c r="A45" s="299" t="s">
        <v>2410</v>
      </c>
      <c r="B45" s="288" t="s">
        <v>2376</v>
      </c>
      <c r="C45" s="289">
        <f ca="1">C46</f>
        <v>1573693</v>
      </c>
      <c r="D45" s="279">
        <f ca="1">C47</f>
        <v>4.0000000000000001E-3</v>
      </c>
      <c r="E45" s="280" t="s">
        <v>2402</v>
      </c>
      <c r="F45" s="290"/>
      <c r="G45" s="291" t="s">
        <v>2411</v>
      </c>
    </row>
    <row r="46" spans="1:7" s="258" customFormat="1" ht="13.5" customHeight="1">
      <c r="A46" s="954" t="s">
        <v>791</v>
      </c>
      <c r="B46" s="292" t="s">
        <v>2412</v>
      </c>
      <c r="C46" s="293">
        <f ca="1">ROUND((C33+C39)*F27,0)</f>
        <v>1573693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10423179</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10214715</v>
      </c>
      <c r="D51" s="276"/>
      <c r="E51" s="276"/>
      <c r="F51" s="308"/>
      <c r="G51" s="278" t="s">
        <v>2423</v>
      </c>
    </row>
    <row r="52" spans="1:7" s="252" customFormat="1" ht="16.5" thickBot="1">
      <c r="A52" s="309" t="s">
        <v>2424</v>
      </c>
      <c r="B52" s="310"/>
      <c r="C52" s="311">
        <f ca="1">C31+C51</f>
        <v>12832361</v>
      </c>
      <c r="D52" s="310"/>
      <c r="E52" s="310"/>
      <c r="F52" s="310"/>
      <c r="G52" s="312"/>
    </row>
    <row r="55" spans="1:7" ht="15">
      <c r="B55" s="314" t="s">
        <v>2425</v>
      </c>
      <c r="C55" s="315"/>
    </row>
    <row r="56" spans="1:7">
      <c r="B56" s="317" t="s">
        <v>1513</v>
      </c>
      <c r="C56" s="319">
        <f ca="1">1-C57</f>
        <v>0.20399999999999996</v>
      </c>
    </row>
    <row r="57" spans="1:7">
      <c r="B57" s="317" t="s">
        <v>1514</v>
      </c>
      <c r="C57" s="318">
        <f ca="1">ROUND(C51/C52,3)</f>
        <v>0.79600000000000004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-113</v>
      </c>
      <c r="C2" s="320" t="s">
        <v>2458</v>
      </c>
      <c r="D2" s="320"/>
      <c r="E2" s="320"/>
      <c r="F2" s="320"/>
      <c r="G2" s="320"/>
      <c r="H2" s="320"/>
      <c r="I2" s="320"/>
      <c r="J2" s="320"/>
      <c r="K2" s="320"/>
    </row>
    <row r="3" spans="1:33" ht="18" customHeight="1" thickBot="1">
      <c r="A3" s="247" t="s">
        <v>2327</v>
      </c>
      <c r="B3" s="248">
        <f ca="1">ROUND(B2*10000/IF(C1="",'数据-汇总表'!E3,INDIRECT("'数据-取费表'!K"&amp;$K$1)),0)</f>
        <v>-427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2644.5600000000004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2644.5600000000004</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95</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95</v>
      </c>
      <c r="D20" s="1036">
        <f ca="1">IF(C1="",'数据-汇总表'!E6,IF(INDIRECT("'数据-取费表'!c"&amp;$K$1)="住宅",INDIRECT("'数据-取费表'!s"&amp;$K$1),INDIRECT("'数据-取费表'!k"&amp;$K$1)+INDIRECT("'数据-取费表'!s"&amp;$K$1)))</f>
        <v>2644.5600000000004</v>
      </c>
      <c r="E20" s="24">
        <f>'数据-取费表'!B28</f>
        <v>360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2507</v>
      </c>
      <c r="B28" s="2562" t="s">
        <v>2508</v>
      </c>
      <c r="C28" s="331">
        <f ca="1">C30</f>
        <v>19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-113</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ROUND(F6*F8*F7*(1-F9)/10000,0)</f>
        <v>0</v>
      </c>
      <c r="D6" s="164" t="s">
        <v>3030</v>
      </c>
      <c r="E6" s="347" t="s">
        <v>1405</v>
      </c>
      <c r="F6" s="348">
        <f ca="1">INDIRECT("'数据-取费表'!u"&amp;$G$1)</f>
        <v>0</v>
      </c>
      <c r="G6" s="1854"/>
      <c r="H6" s="1294" t="s">
        <v>1035</v>
      </c>
      <c r="I6" s="3190" t="s">
        <v>1403</v>
      </c>
      <c r="J6" s="346">
        <f ca="1">ROUND(M6*M8*M7*(1-M9)/10000,0)</f>
        <v>0</v>
      </c>
      <c r="K6" s="164" t="s">
        <v>3029</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4"/>
      <c r="H7" s="349"/>
      <c r="I7" s="3191"/>
      <c r="J7" s="351"/>
      <c r="K7" s="352"/>
      <c r="L7" s="347" t="s">
        <v>1406</v>
      </c>
      <c r="M7" s="348">
        <f ca="1">F7</f>
        <v>0</v>
      </c>
    </row>
    <row r="8" spans="1:37" ht="18" customHeight="1">
      <c r="A8" s="349"/>
      <c r="B8" s="3191"/>
      <c r="C8" s="351"/>
      <c r="D8" s="352"/>
      <c r="E8" s="347" t="s">
        <v>1407</v>
      </c>
      <c r="F8" s="348">
        <f ca="1">INDIRECT("'数据-取费表'!ai"&amp;$G$1)</f>
        <v>0</v>
      </c>
      <c r="G8" s="1854"/>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88" t="s">
        <v>1548</v>
      </c>
      <c r="L53" s="318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25" t="str">
        <f>项目基本情况!S2</f>
        <v>新疆省昌吉市延安南路46号小区房地产</v>
      </c>
      <c r="B2" s="3126"/>
      <c r="C2" s="3126"/>
      <c r="D2" s="3126"/>
      <c r="E2" s="3126"/>
      <c r="F2" s="3126"/>
      <c r="G2" s="3126"/>
      <c r="H2" s="3126"/>
      <c r="I2" s="3127"/>
    </row>
    <row r="3" spans="1:12" ht="12.75">
      <c r="A3" s="3129" t="s">
        <v>2117</v>
      </c>
      <c r="B3" s="3130"/>
      <c r="C3" s="3130"/>
      <c r="D3" s="3130"/>
      <c r="E3" s="3130"/>
      <c r="F3" s="3130"/>
      <c r="G3" s="3130"/>
      <c r="H3" s="3130"/>
      <c r="I3" s="3130"/>
    </row>
    <row r="4" spans="1:12" ht="14.25">
      <c r="A4" s="2426" t="s">
        <v>2118</v>
      </c>
      <c r="B4" s="2427" t="s">
        <v>2119</v>
      </c>
      <c r="C4" s="2428" t="s">
        <v>3081</v>
      </c>
      <c r="D4" s="2428" t="s">
        <v>3075</v>
      </c>
      <c r="E4" s="3122" t="s">
        <v>2120</v>
      </c>
      <c r="F4" s="3123"/>
      <c r="G4" s="3123"/>
      <c r="H4" s="3123"/>
      <c r="I4" s="3131"/>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5" t="s">
        <v>2121</v>
      </c>
      <c r="B5" s="3043">
        <v>25</v>
      </c>
      <c r="C5" s="3108"/>
      <c r="D5" s="3128"/>
      <c r="E5" s="140" t="s">
        <v>2122</v>
      </c>
      <c r="F5" s="2430"/>
      <c r="G5" s="2430"/>
      <c r="H5" s="2430"/>
      <c r="I5" s="1834"/>
    </row>
    <row r="6" spans="1:12" ht="12.75">
      <c r="A6" s="3105"/>
      <c r="B6" s="3043"/>
      <c r="C6" s="3109"/>
      <c r="D6" s="3128"/>
      <c r="E6" s="140" t="s">
        <v>2123</v>
      </c>
      <c r="F6" s="2430"/>
      <c r="G6" s="2430"/>
      <c r="H6" s="2430"/>
      <c r="I6" s="1834"/>
    </row>
    <row r="7" spans="1:12" ht="12.75">
      <c r="A7" s="3105"/>
      <c r="B7" s="3043"/>
      <c r="C7" s="3110"/>
      <c r="D7" s="3128"/>
      <c r="E7" s="140" t="s">
        <v>2124</v>
      </c>
      <c r="F7" s="2430"/>
      <c r="G7" s="2430"/>
      <c r="H7" s="2430"/>
      <c r="I7" s="1834"/>
    </row>
    <row r="8" spans="1:12" ht="12.75">
      <c r="A8" s="3105" t="s">
        <v>2125</v>
      </c>
      <c r="B8" s="3043">
        <v>15</v>
      </c>
      <c r="C8" s="3108"/>
      <c r="D8" s="3128"/>
      <c r="E8" s="140" t="s">
        <v>2126</v>
      </c>
      <c r="F8" s="2430"/>
      <c r="G8" s="2430"/>
      <c r="H8" s="2430"/>
      <c r="I8" s="1834"/>
    </row>
    <row r="9" spans="1:12" ht="12.75">
      <c r="A9" s="3105"/>
      <c r="B9" s="3043"/>
      <c r="C9" s="3110"/>
      <c r="D9" s="3128"/>
      <c r="E9" s="140" t="s">
        <v>2127</v>
      </c>
      <c r="F9" s="2430"/>
      <c r="G9" s="2430"/>
      <c r="H9" s="2430"/>
      <c r="I9" s="1834"/>
    </row>
    <row r="10" spans="1:12" ht="12.75">
      <c r="A10" s="3105" t="s">
        <v>2128</v>
      </c>
      <c r="B10" s="3043">
        <v>15</v>
      </c>
      <c r="C10" s="3108"/>
      <c r="D10" s="3128"/>
      <c r="E10" s="140" t="s">
        <v>2129</v>
      </c>
      <c r="F10" s="2430"/>
      <c r="G10" s="2430"/>
      <c r="H10" s="2430"/>
      <c r="I10" s="1834"/>
    </row>
    <row r="11" spans="1:12" ht="12.75">
      <c r="A11" s="3105"/>
      <c r="B11" s="3043"/>
      <c r="C11" s="3110"/>
      <c r="D11" s="3128"/>
      <c r="E11" s="140" t="s">
        <v>2130</v>
      </c>
      <c r="F11" s="2430"/>
      <c r="G11" s="2430"/>
      <c r="H11" s="2430"/>
      <c r="I11" s="1834"/>
    </row>
    <row r="12" spans="1:12" ht="12.75">
      <c r="A12" s="3105" t="s">
        <v>2131</v>
      </c>
      <c r="B12" s="3043">
        <v>15</v>
      </c>
      <c r="C12" s="3108"/>
      <c r="D12" s="3128"/>
      <c r="E12" s="140" t="s">
        <v>2132</v>
      </c>
      <c r="F12" s="2430"/>
      <c r="G12" s="2430"/>
      <c r="H12" s="2430"/>
      <c r="I12" s="1834"/>
    </row>
    <row r="13" spans="1:12" ht="12.75">
      <c r="A13" s="3105"/>
      <c r="B13" s="3043"/>
      <c r="C13" s="3110"/>
      <c r="D13" s="3128"/>
      <c r="E13" s="140" t="s">
        <v>2133</v>
      </c>
      <c r="F13" s="2430"/>
      <c r="G13" s="2430"/>
      <c r="H13" s="2430"/>
      <c r="I13" s="1834"/>
    </row>
    <row r="14" spans="1:12" ht="12.75">
      <c r="A14" s="3105" t="s">
        <v>2134</v>
      </c>
      <c r="B14" s="3043">
        <v>30</v>
      </c>
      <c r="C14" s="3108">
        <v>5</v>
      </c>
      <c r="D14" s="3128">
        <v>5</v>
      </c>
      <c r="E14" s="140" t="s">
        <v>2135</v>
      </c>
      <c r="F14" s="2430"/>
      <c r="G14" s="2430"/>
      <c r="H14" s="2430"/>
      <c r="I14" s="1834"/>
    </row>
    <row r="15" spans="1:12" ht="12.75">
      <c r="A15" s="3105"/>
      <c r="B15" s="3043"/>
      <c r="C15" s="3109"/>
      <c r="D15" s="3128"/>
      <c r="E15" s="140" t="s">
        <v>2136</v>
      </c>
      <c r="F15" s="2430"/>
      <c r="G15" s="2430"/>
      <c r="H15" s="2430"/>
      <c r="I15" s="1834"/>
    </row>
    <row r="16" spans="1:12" ht="12.75">
      <c r="A16" s="3105"/>
      <c r="B16" s="3043"/>
      <c r="C16" s="3110"/>
      <c r="D16" s="3128"/>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2294.6900000000005</v>
      </c>
      <c r="M18" s="2429">
        <f>IF(C1="",'数据-汇总表'!E3,SUMIF(项目类型,C1,'数据-汇总表'!E17:E26))</f>
        <v>2294.6900000000005</v>
      </c>
    </row>
    <row r="19" spans="1:35" ht="15">
      <c r="A19" s="2435" t="s">
        <v>2143</v>
      </c>
      <c r="B19" s="2436" t="s">
        <v>2144</v>
      </c>
      <c r="C19" s="143">
        <f ca="1">SUMIF(INDIRECT("'"&amp;C4&amp;"'"&amp;"!A:A"),'结果表-办公'!B19,INDIRECT("'"&amp;C4&amp;"'"&amp;"!B:B"))</f>
        <v>1962</v>
      </c>
      <c r="D19" s="144">
        <f ca="1">SUMIF(INDIRECT("'"&amp;D4&amp;"'"&amp;"!A:A"),'结果表-办公'!B19,INDIRECT("'"&amp;D4&amp;"'"&amp;"!B:B"))</f>
        <v>1686</v>
      </c>
      <c r="E19" s="2435" t="s">
        <v>2145</v>
      </c>
      <c r="F19" s="2436" t="s">
        <v>2144</v>
      </c>
      <c r="G19" s="145">
        <f ca="1">ROUND(C19*$C$18+D19*$D$18,0)</f>
        <v>1824</v>
      </c>
      <c r="H19" s="2437" t="s">
        <v>2146</v>
      </c>
      <c r="I19" s="138"/>
      <c r="K19" s="2429" t="s">
        <v>2147</v>
      </c>
      <c r="L19" s="2429">
        <f>IF(C1="",'数据-汇总表'!D3,SUMIF(项目类型,C1,'数据-汇总表'!D17:D26)+SUMIF(项目类型,C1,'数据-汇总表'!H17:H27))</f>
        <v>587.04</v>
      </c>
      <c r="M19" s="2429">
        <f>IF(C1="",'数据-汇总表'!D3,SUMIF(项目类型,C1,'数据-汇总表'!D17:D26))</f>
        <v>587.04</v>
      </c>
    </row>
    <row r="20" spans="1:35" ht="15">
      <c r="A20" s="2438"/>
      <c r="B20" s="1250" t="s">
        <v>2148</v>
      </c>
      <c r="C20" s="146">
        <f ca="1">SUMIF(INDIRECT("'"&amp;C4&amp;"'"&amp;"!A:A"),'结果表-办公'!B20,INDIRECT("'"&amp;C4&amp;"'"&amp;"!B:B"))</f>
        <v>8548</v>
      </c>
      <c r="D20" s="147">
        <f ca="1">SUMIF(INDIRECT("'"&amp;D4&amp;"'"&amp;"!A:A"),'结果表-办公'!B20,INDIRECT("'"&amp;D4&amp;"'"&amp;"!B:B"))</f>
        <v>7348</v>
      </c>
      <c r="E20" s="2438"/>
      <c r="F20" s="1250" t="s">
        <v>2148</v>
      </c>
      <c r="G20" s="148">
        <f ca="1">ROUND(C20*$C$18+D20*$D$18,0)</f>
        <v>7948</v>
      </c>
      <c r="H20" s="983" t="s">
        <v>2149</v>
      </c>
      <c r="I20" s="138"/>
    </row>
    <row r="21" spans="1:35" ht="15" customHeight="1" thickBot="1">
      <c r="A21" s="1003"/>
      <c r="B21" s="2439" t="s">
        <v>2150</v>
      </c>
      <c r="C21" s="789">
        <f ca="1">ROUND(C19*10000/L19,0)</f>
        <v>33422</v>
      </c>
      <c r="D21" s="790">
        <f ca="1">ROUND(D19*10000/L19,0)</f>
        <v>28720</v>
      </c>
      <c r="E21" s="1003"/>
      <c r="F21" s="2439" t="s">
        <v>2150</v>
      </c>
      <c r="G21" s="149">
        <f ca="1">ROUND(G19*10000/L19,0)</f>
        <v>31071</v>
      </c>
      <c r="H21" s="2440" t="s">
        <v>2149</v>
      </c>
      <c r="I21" s="138"/>
    </row>
    <row r="22" spans="1:35" ht="15" thickBot="1">
      <c r="A22" s="2282" t="s">
        <v>2151</v>
      </c>
      <c r="B22" s="2441"/>
      <c r="C22" s="2442"/>
      <c r="D22" s="791">
        <f ca="1">IF(C19&lt;D19,D19/C19-1,C19/D19-1)</f>
        <v>0.16370106761565828</v>
      </c>
      <c r="E22" s="138"/>
      <c r="F22" s="138"/>
      <c r="G22" s="138"/>
      <c r="H22" s="138"/>
      <c r="I22" s="138"/>
    </row>
    <row r="23" spans="1:35" ht="13.5" thickBot="1">
      <c r="A23" s="2419"/>
      <c r="B23" s="2419"/>
      <c r="C23" s="2419"/>
      <c r="D23" s="2419"/>
      <c r="E23" s="138"/>
      <c r="F23" s="138"/>
      <c r="G23" s="138"/>
      <c r="H23" s="138"/>
      <c r="I23" s="138"/>
    </row>
    <row r="24" spans="1:35" ht="14.25">
      <c r="A24" s="3099" t="s">
        <v>2152</v>
      </c>
      <c r="B24" s="2436" t="s">
        <v>2144</v>
      </c>
      <c r="C24" s="145">
        <f>IF(B30=0,0,D30)</f>
        <v>0</v>
      </c>
      <c r="D24" s="2443"/>
      <c r="E24" s="138"/>
      <c r="F24" s="138"/>
      <c r="G24" s="138"/>
      <c r="H24" s="138"/>
      <c r="I24" s="138"/>
    </row>
    <row r="25" spans="1:35" ht="14.25">
      <c r="A25" s="3100"/>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1824</v>
      </c>
      <c r="D32" s="2450" t="s">
        <v>2159</v>
      </c>
      <c r="E32" s="138"/>
      <c r="F32" s="138"/>
      <c r="G32" s="138"/>
      <c r="H32" s="138"/>
      <c r="I32" s="138"/>
    </row>
    <row r="33" spans="1:15" ht="15">
      <c r="A33" s="960" t="s">
        <v>2160</v>
      </c>
      <c r="B33" s="2451"/>
      <c r="C33" s="2452" t="s">
        <v>3155</v>
      </c>
      <c r="D33" s="2453" t="s">
        <v>3075</v>
      </c>
      <c r="E33" s="2454" t="s">
        <v>2161</v>
      </c>
      <c r="F33" s="2944" t="str">
        <f>IF(D32="楼面单价","取值（单价）","取值（总价）")</f>
        <v>取值（总价）</v>
      </c>
      <c r="G33" s="138"/>
      <c r="H33" s="138"/>
      <c r="I33" s="138"/>
    </row>
    <row r="34" spans="1:15" ht="15">
      <c r="A34" s="2456"/>
      <c r="B34" s="2457" t="s">
        <v>2162</v>
      </c>
      <c r="C34" s="157">
        <f ca="1">IF(C33="自定义",F34,C32-C35)</f>
        <v>243</v>
      </c>
      <c r="D34" s="1058">
        <f ca="1">IF(C33="自定义",ROUND(C34/C32,3),IF(C33="收益比率",SUMIF(INDIRECT("'"&amp;D33&amp;"'"&amp;"!b:b"),"土地收益比率",INDIRECT("'"&amp;D33&amp;"'"&amp;"!c:c")),SUMIF(INDIRECT("'"&amp;D33&amp;"'"&amp;"!b:b"),"土地成本比率",INDIRECT("'"&amp;D33&amp;"'"&amp;"!c:c"))))</f>
        <v>0.13300000000000001</v>
      </c>
      <c r="E34" s="2458" t="s">
        <v>2163</v>
      </c>
      <c r="F34" s="1739"/>
      <c r="G34" s="138"/>
      <c r="H34" s="138"/>
      <c r="I34" s="138"/>
    </row>
    <row r="35" spans="1:15" ht="15.75" thickBot="1">
      <c r="A35" s="2459"/>
      <c r="B35" s="2460" t="s">
        <v>2164</v>
      </c>
      <c r="C35" s="1444">
        <f ca="1">IF(C33="自定义",F35,ROUND(C32*D35,0))</f>
        <v>1581</v>
      </c>
      <c r="D35" s="1445">
        <f ca="1">IF(C33="自定义",ROUND(C35/C32,3),IF(C33="收益比率",SUMIF(INDIRECT("'"&amp;D33&amp;"'"&amp;"!b:b"),"建筑物收益比率",INDIRECT("'"&amp;D33&amp;"'"&amp;"!c:c")),SUMIF(INDIRECT("'"&amp;D33&amp;"'"&amp;"!b:b"),"建筑物成本比率",INDIRECT("'"&amp;D33&amp;"'"&amp;"!c:c"))))</f>
        <v>0.86699999999999999</v>
      </c>
      <c r="E35" s="2461" t="s">
        <v>2165</v>
      </c>
      <c r="F35" s="163"/>
      <c r="G35" s="138"/>
      <c r="H35" s="138"/>
      <c r="I35" s="138"/>
    </row>
    <row r="36" spans="1:15" ht="15.75" thickBot="1">
      <c r="A36" s="3117" t="s">
        <v>2166</v>
      </c>
      <c r="B36" s="2462" t="s">
        <v>2167</v>
      </c>
      <c r="C36" s="154"/>
      <c r="D36" s="2463"/>
      <c r="E36" s="2464"/>
      <c r="F36" s="2465"/>
      <c r="G36" s="138"/>
      <c r="H36" s="138"/>
      <c r="I36" s="138"/>
    </row>
    <row r="37" spans="1:15" ht="15.75" thickBot="1">
      <c r="A37" s="3118"/>
      <c r="B37" s="2268" t="s">
        <v>2168</v>
      </c>
      <c r="C37" s="156"/>
      <c r="D37" s="1395"/>
      <c r="E37" s="1395"/>
      <c r="F37" s="2465"/>
      <c r="G37" s="138"/>
      <c r="H37" s="138"/>
      <c r="I37" s="138"/>
    </row>
    <row r="38" spans="1:15" ht="15.75" thickBot="1">
      <c r="A38" s="3119"/>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6" t="s">
        <v>2180</v>
      </c>
      <c r="B45" s="3097"/>
      <c r="C45" s="3098"/>
      <c r="D45" s="164">
        <f ca="1">ROUND(H101*F45,0)</f>
        <v>1824</v>
      </c>
      <c r="E45" s="165" t="s">
        <v>2181</v>
      </c>
      <c r="F45" s="166">
        <v>1</v>
      </c>
      <c r="G45" s="167" t="s">
        <v>2182</v>
      </c>
      <c r="H45" s="138"/>
      <c r="I45" s="138"/>
      <c r="J45" s="3156" t="s">
        <v>2183</v>
      </c>
      <c r="K45" s="3156"/>
      <c r="L45" s="3156"/>
      <c r="M45" s="3156"/>
      <c r="N45" s="3156"/>
      <c r="O45" s="3156"/>
    </row>
    <row r="46" spans="1:15" ht="14.25" customHeight="1">
      <c r="A46" s="3093" t="s">
        <v>2184</v>
      </c>
      <c r="B46" s="3094"/>
      <c r="C46" s="3094"/>
      <c r="D46" s="3094"/>
      <c r="E46" s="3094"/>
      <c r="F46" s="3094"/>
      <c r="G46" s="3095"/>
      <c r="H46" s="2481"/>
      <c r="I46" s="168"/>
      <c r="J46" s="2953">
        <v>1</v>
      </c>
      <c r="K46" s="3156" t="s">
        <v>2185</v>
      </c>
      <c r="L46" s="3156"/>
      <c r="M46" s="3176"/>
      <c r="N46" s="3176"/>
      <c r="O46" s="3176"/>
    </row>
    <row r="47" spans="1:15" ht="12" customHeight="1">
      <c r="A47" s="169" t="s">
        <v>2186</v>
      </c>
      <c r="B47" s="170"/>
      <c r="C47" s="171"/>
      <c r="D47" s="172" t="s">
        <v>2187</v>
      </c>
      <c r="E47" s="24" t="s">
        <v>2188</v>
      </c>
      <c r="F47" s="173" t="s">
        <v>2189</v>
      </c>
      <c r="G47" s="174" t="s">
        <v>2190</v>
      </c>
      <c r="H47" s="2481"/>
      <c r="I47" s="168"/>
      <c r="J47" s="2953">
        <v>2</v>
      </c>
      <c r="K47" s="3156" t="s">
        <v>2191</v>
      </c>
      <c r="L47" s="3156"/>
      <c r="M47" s="3177">
        <f>'数据-取费表'!B2</f>
        <v>43214</v>
      </c>
      <c r="N47" s="3177"/>
      <c r="O47" s="3177"/>
    </row>
    <row r="48" spans="1:15" ht="25.5">
      <c r="A48" s="3124" t="s">
        <v>2192</v>
      </c>
      <c r="B48" s="3107"/>
      <c r="C48" s="3107"/>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156" t="s">
        <v>2195</v>
      </c>
      <c r="L48" s="3156"/>
      <c r="M48" s="3178">
        <f ca="1">H101</f>
        <v>1824</v>
      </c>
      <c r="N48" s="3178"/>
      <c r="O48" s="3178"/>
    </row>
    <row r="49" spans="1:35" ht="25.5" customHeight="1">
      <c r="A49" s="176" t="s">
        <v>2196</v>
      </c>
      <c r="B49" s="3092" t="s">
        <v>2197</v>
      </c>
      <c r="C49" s="3092"/>
      <c r="D49" s="177">
        <v>0</v>
      </c>
      <c r="E49" s="23" t="s">
        <v>2198</v>
      </c>
      <c r="F49" s="28" t="s">
        <v>34</v>
      </c>
      <c r="G49" s="3162"/>
      <c r="H49" s="138"/>
      <c r="I49" s="2484"/>
      <c r="J49" s="2953">
        <v>4</v>
      </c>
      <c r="K49" s="3156" t="str">
        <f>IF(项目基本情况!E8="房地产抵押价值","房地产抵押价值","抵押担保权已注销时的房地产抵押价值")</f>
        <v>抵押担保权已注销时的房地产抵押价值</v>
      </c>
      <c r="L49" s="3156"/>
      <c r="M49" s="3178" t="str">
        <f>IF(项目基本情况!E8="房地产抵押价值",H107,H109)</f>
        <v>——</v>
      </c>
      <c r="N49" s="3178"/>
      <c r="O49" s="3178"/>
    </row>
    <row r="50" spans="1:35" ht="25.5" customHeight="1">
      <c r="A50" s="178"/>
      <c r="B50" s="3092" t="s">
        <v>2199</v>
      </c>
      <c r="C50" s="3092"/>
      <c r="D50" s="179"/>
      <c r="E50" s="31"/>
      <c r="F50" s="180"/>
      <c r="G50" s="3163"/>
      <c r="H50" s="138"/>
      <c r="I50" s="2484"/>
      <c r="J50" s="3156" t="s">
        <v>2200</v>
      </c>
      <c r="K50" s="3156"/>
      <c r="L50" s="3156"/>
      <c r="M50" s="3156"/>
      <c r="N50" s="3156"/>
      <c r="O50" s="3156"/>
    </row>
    <row r="51" spans="1:35" ht="12" customHeight="1">
      <c r="A51" s="181"/>
      <c r="B51" s="3092" t="s">
        <v>2201</v>
      </c>
      <c r="C51" s="3092"/>
      <c r="D51" s="182"/>
      <c r="E51" s="30"/>
      <c r="F51" s="180"/>
      <c r="G51" s="3164"/>
      <c r="H51" s="138"/>
      <c r="I51" s="2484"/>
      <c r="J51" s="2946" t="s">
        <v>2202</v>
      </c>
      <c r="K51" s="3156" t="s">
        <v>2203</v>
      </c>
      <c r="L51" s="3156"/>
      <c r="M51" s="2946" t="s">
        <v>2204</v>
      </c>
      <c r="N51" s="2946" t="s">
        <v>2205</v>
      </c>
      <c r="O51" s="2946" t="s">
        <v>2206</v>
      </c>
    </row>
    <row r="52" spans="1:35" ht="24" customHeight="1">
      <c r="A52" s="183" t="s">
        <v>2207</v>
      </c>
      <c r="B52" s="3092" t="s">
        <v>2208</v>
      </c>
      <c r="C52" s="3092"/>
      <c r="D52" s="182">
        <f ca="1">ROUND(D45*'数据-取费表'!B41/(1+'数据-取费表'!C42),0)</f>
        <v>97</v>
      </c>
      <c r="E52" s="11" t="s">
        <v>2209</v>
      </c>
      <c r="F52" s="184">
        <f>'数据-取费表'!B41</f>
        <v>5.6000000000000001E-2</v>
      </c>
      <c r="G52" s="2486"/>
      <c r="H52" s="138"/>
      <c r="I52" s="2484"/>
      <c r="J52" s="2953">
        <v>1</v>
      </c>
      <c r="K52" s="3157" t="s">
        <v>2210</v>
      </c>
      <c r="L52" s="3157"/>
      <c r="M52" s="1754">
        <f>D48</f>
        <v>0</v>
      </c>
      <c r="N52" s="2953" t="str">
        <f>E48</f>
        <v>销售额×税（费）率</v>
      </c>
      <c r="O52" s="1755" t="str">
        <f>F48</f>
        <v>免征</v>
      </c>
    </row>
    <row r="53" spans="1:35" ht="12" customHeight="1">
      <c r="A53" s="183" t="s">
        <v>2211</v>
      </c>
      <c r="B53" s="3115" t="s">
        <v>2212</v>
      </c>
      <c r="C53" s="3116"/>
      <c r="D53" s="182">
        <f ca="1">ROUND(D45*'数据-取费表'!B41/(1+'数据-取费表'!C42),0)</f>
        <v>97</v>
      </c>
      <c r="E53" s="11" t="s">
        <v>2209</v>
      </c>
      <c r="F53" s="184">
        <f>'数据-取费表'!B41</f>
        <v>5.6000000000000001E-2</v>
      </c>
      <c r="G53" s="2486"/>
      <c r="H53" s="138"/>
      <c r="I53" s="2484"/>
      <c r="J53" s="2953">
        <v>2</v>
      </c>
      <c r="K53" s="3157" t="s">
        <v>2213</v>
      </c>
      <c r="L53" s="3157"/>
      <c r="M53" s="1754">
        <f t="shared" ref="M53:O54" ca="1" si="0">D55</f>
        <v>1</v>
      </c>
      <c r="N53" s="2953" t="str">
        <f t="shared" si="0"/>
        <v>销售额×税（费）率</v>
      </c>
      <c r="O53" s="1755">
        <f t="shared" si="0"/>
        <v>5.0000000000000001E-4</v>
      </c>
    </row>
    <row r="54" spans="1:35" ht="12" customHeight="1">
      <c r="A54" s="183" t="s">
        <v>2214</v>
      </c>
      <c r="B54" s="3115" t="s">
        <v>2215</v>
      </c>
      <c r="C54" s="3116"/>
      <c r="D54" s="182">
        <f ca="1">C68</f>
        <v>97</v>
      </c>
      <c r="E54" s="30" t="s">
        <v>2216</v>
      </c>
      <c r="F54" s="184">
        <f>'数据-取费表'!B41</f>
        <v>5.6000000000000001E-2</v>
      </c>
      <c r="G54" s="2486"/>
      <c r="H54" s="2487"/>
      <c r="I54" s="2484"/>
      <c r="J54" s="2953">
        <v>3</v>
      </c>
      <c r="K54" s="3157" t="s">
        <v>2217</v>
      </c>
      <c r="L54" s="3157"/>
      <c r="M54" s="1754">
        <f t="shared" ca="1" si="0"/>
        <v>1033</v>
      </c>
      <c r="N54" s="2953" t="str">
        <f t="shared" si="0"/>
        <v>增值额×税（费）率</v>
      </c>
      <c r="O54" s="1756" t="str">
        <f t="shared" si="0"/>
        <v>——</v>
      </c>
    </row>
    <row r="55" spans="1:35" ht="24" customHeight="1">
      <c r="A55" s="3106" t="s">
        <v>2218</v>
      </c>
      <c r="B55" s="3107"/>
      <c r="C55" s="3107"/>
      <c r="D55" s="185">
        <f ca="1">IF(H55="个人住宅",0,ROUND(D45*I55,0))</f>
        <v>1</v>
      </c>
      <c r="E55" s="11" t="s">
        <v>2219</v>
      </c>
      <c r="F55" s="184">
        <f>IF(H55="正常",I55,"免征")</f>
        <v>5.0000000000000001E-4</v>
      </c>
      <c r="G55" s="2486"/>
      <c r="H55" s="2483" t="s">
        <v>2220</v>
      </c>
      <c r="I55" s="186">
        <f>'数据-取费表'!B49</f>
        <v>5.0000000000000001E-4</v>
      </c>
      <c r="J55" s="2953" t="str">
        <f>IF(H59="非个人房产","",4)</f>
        <v/>
      </c>
      <c r="K55" s="3157" t="str">
        <f>IF(H59="非个人房产","——","个人所得税")</f>
        <v>——</v>
      </c>
      <c r="L55" s="3157"/>
      <c r="M55" s="1757" t="str">
        <f>D59</f>
        <v>——</v>
      </c>
      <c r="N55" s="2954" t="str">
        <f>E59</f>
        <v>——</v>
      </c>
      <c r="O55" s="1758" t="str">
        <f>F59</f>
        <v>——</v>
      </c>
    </row>
    <row r="56" spans="1:35" ht="24.75">
      <c r="A56" s="3106" t="s">
        <v>2221</v>
      </c>
      <c r="B56" s="3107"/>
      <c r="C56" s="3107"/>
      <c r="D56" s="185">
        <f ca="1">IF(H56="个人住宅",D57,D58)</f>
        <v>1033</v>
      </c>
      <c r="E56" s="11" t="s">
        <v>2222</v>
      </c>
      <c r="F56" s="184" t="str">
        <f>IF(H56="正常",F58,"免征")</f>
        <v>——</v>
      </c>
      <c r="G56" s="2488" t="s">
        <v>2223</v>
      </c>
      <c r="H56" s="2489" t="s">
        <v>2220</v>
      </c>
      <c r="I56" s="2490"/>
      <c r="J56" s="2953" t="str">
        <f>IF(项目基本情况!K6="上海银行",IF(J55="",4,J55+1),"")</f>
        <v/>
      </c>
      <c r="K56" s="3180" t="str">
        <f>IF(项目基本情况!K6="上海银行","其他处置费用","")</f>
        <v/>
      </c>
      <c r="L56" s="3181"/>
      <c r="M56" s="1754" t="str">
        <f>IF(项目基本情况!K6="上海银行",M69,"")</f>
        <v/>
      </c>
      <c r="N56" s="3183" t="str">
        <f>IF(项目基本情况!K6="上海银行","包含处置中涉及的律师、诉讼、拍卖、评估等费用","")</f>
        <v/>
      </c>
      <c r="O56" s="3184"/>
    </row>
    <row r="57" spans="1:35" ht="12.75">
      <c r="A57" s="183" t="s">
        <v>2196</v>
      </c>
      <c r="B57" s="3122" t="s">
        <v>2224</v>
      </c>
      <c r="C57" s="3131"/>
      <c r="D57" s="187">
        <v>0</v>
      </c>
      <c r="E57" s="23" t="s">
        <v>2198</v>
      </c>
      <c r="F57" s="155"/>
      <c r="G57" s="2486"/>
      <c r="H57" s="2490"/>
      <c r="I57" s="2490"/>
      <c r="J57" s="3157">
        <f>IF(AND(J55="",J56=""),4,IF(项目基本情况!K6="上海银行",'结果表-办公'!J56+1,'结果表-办公'!J55+1))</f>
        <v>4</v>
      </c>
      <c r="K57" s="3157" t="s">
        <v>2225</v>
      </c>
      <c r="L57" s="2491" t="s">
        <v>2226</v>
      </c>
      <c r="M57" s="1759"/>
      <c r="N57" s="1760">
        <f ca="1">SUMIF(M52:M56,"&lt;9e307")</f>
        <v>1034</v>
      </c>
      <c r="O57" s="2492"/>
      <c r="P57" s="1753" t="e">
        <f ca="1">N57/M49</f>
        <v>#VALUE!</v>
      </c>
    </row>
    <row r="58" spans="1:35" ht="24.75">
      <c r="A58" s="183" t="s">
        <v>2207</v>
      </c>
      <c r="B58" s="3122" t="s">
        <v>2227</v>
      </c>
      <c r="C58" s="3123"/>
      <c r="D58" s="185">
        <f ca="1">IF(H58="转让取得",C81,C97)</f>
        <v>1033</v>
      </c>
      <c r="E58" s="11" t="s">
        <v>2222</v>
      </c>
      <c r="F58" s="24" t="s">
        <v>34</v>
      </c>
      <c r="G58" s="2486"/>
      <c r="H58" s="2489" t="s">
        <v>2228</v>
      </c>
      <c r="I58" s="2490"/>
      <c r="J58" s="3157"/>
      <c r="K58" s="3157"/>
      <c r="L58" s="2491" t="s">
        <v>2229</v>
      </c>
      <c r="M58" s="1761"/>
      <c r="N58" s="2493" t="str">
        <f ca="1">NUMBERSTRING(INT(N57*10000),2)&amp;"元整"</f>
        <v>壹仟零叁拾肆万元整</v>
      </c>
      <c r="O58" s="2494"/>
    </row>
    <row r="59" spans="1:35" ht="24.75" thickBot="1">
      <c r="A59" s="3160" t="s">
        <v>2230</v>
      </c>
      <c r="B59" s="3161"/>
      <c r="C59" s="3161"/>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58">
        <f>J57+1</f>
        <v>5</v>
      </c>
      <c r="K59" s="3157" t="s">
        <v>2232</v>
      </c>
      <c r="L59" s="2953" t="s">
        <v>2226</v>
      </c>
      <c r="M59" s="1762"/>
      <c r="N59" s="1763" t="e">
        <f ca="1">M49-N57</f>
        <v>#VALUE!</v>
      </c>
      <c r="O59" s="2496"/>
    </row>
    <row r="60" spans="1:35" ht="12" customHeight="1">
      <c r="A60" s="2497"/>
      <c r="B60" s="2419"/>
      <c r="C60" s="2419"/>
      <c r="D60" s="2419"/>
      <c r="E60" s="2167"/>
      <c r="F60" s="2490"/>
      <c r="G60" s="2490"/>
      <c r="H60" s="2498"/>
      <c r="I60" s="138"/>
      <c r="J60" s="3159"/>
      <c r="K60" s="3157"/>
      <c r="L60" s="2491" t="s">
        <v>2229</v>
      </c>
      <c r="M60" s="1761"/>
      <c r="N60" s="2493" t="e">
        <f ca="1">NUMBERSTRING(INT(N59*10000),2)&amp;"元整"</f>
        <v>#VALUE!</v>
      </c>
      <c r="O60" s="2494"/>
    </row>
    <row r="61" spans="1:35" ht="13.5" thickBot="1">
      <c r="A61" s="3104" t="s">
        <v>2233</v>
      </c>
      <c r="B61" s="3104"/>
      <c r="C61" s="3104"/>
      <c r="D61" s="3104"/>
      <c r="E61" s="3104"/>
      <c r="F61" s="2490"/>
      <c r="G61" s="2490"/>
      <c r="H61" s="2498"/>
      <c r="I61" s="138"/>
      <c r="J61" s="2953">
        <f>J59+1</f>
        <v>6</v>
      </c>
      <c r="K61" s="3157" t="s">
        <v>2234</v>
      </c>
      <c r="L61" s="3157"/>
      <c r="M61" s="1764"/>
      <c r="N61" s="1765" t="e">
        <f ca="1">ROUND(N59*10000/'数据-汇总表'!E3,0)</f>
        <v>#VALUE!</v>
      </c>
      <c r="O61" s="2499"/>
    </row>
    <row r="62" spans="1:35" ht="12.75">
      <c r="A62" s="3120" t="s">
        <v>2235</v>
      </c>
      <c r="B62" s="3121"/>
      <c r="C62" s="2958"/>
      <c r="D62" s="2958" t="s">
        <v>2236</v>
      </c>
      <c r="E62" s="192" t="s">
        <v>2237</v>
      </c>
      <c r="F62" s="2490"/>
      <c r="G62" s="2490"/>
      <c r="H62" s="2498"/>
      <c r="I62" s="138"/>
    </row>
    <row r="63" spans="1:35" ht="12.75">
      <c r="A63" s="203" t="s">
        <v>775</v>
      </c>
      <c r="B63" s="193" t="s">
        <v>2238</v>
      </c>
      <c r="C63" s="194">
        <f ca="1">ROUND((C64+C65)/(1+'数据-取费表'!C42),0)</f>
        <v>1737</v>
      </c>
      <c r="D63" s="195"/>
      <c r="E63" s="196"/>
      <c r="F63" s="2490"/>
      <c r="G63" s="2490"/>
      <c r="H63" s="2498"/>
      <c r="I63" s="138"/>
      <c r="J63" s="3182"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1824</v>
      </c>
      <c r="D64" s="200" t="s">
        <v>32</v>
      </c>
      <c r="E64" s="201"/>
      <c r="F64" s="2490"/>
      <c r="G64" s="2490"/>
      <c r="H64" s="2498"/>
      <c r="I64" s="138"/>
      <c r="J64" s="3182"/>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2"/>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2"/>
      <c r="K66" s="2949" t="s">
        <v>2247</v>
      </c>
      <c r="L66" s="1752" t="e">
        <f>M49*0.5%</f>
        <v>#VALUE!</v>
      </c>
      <c r="M66" s="24" t="e">
        <f>IF(L66&gt;0.5,0.5,ROUND(L66,0))</f>
        <v>#VALUE!</v>
      </c>
      <c r="N66" s="138" t="s">
        <v>2248</v>
      </c>
      <c r="Z66" s="2424"/>
      <c r="AI66" s="2425"/>
    </row>
    <row r="67" spans="1:35" ht="14.25" customHeight="1">
      <c r="A67" s="203" t="s">
        <v>773</v>
      </c>
      <c r="B67" s="204" t="s">
        <v>2249</v>
      </c>
      <c r="C67" s="207">
        <f ca="1">C63-C66</f>
        <v>1737</v>
      </c>
      <c r="D67" s="200" t="s">
        <v>32</v>
      </c>
      <c r="E67" s="201"/>
      <c r="F67" s="2490"/>
      <c r="G67" s="2490"/>
      <c r="H67" s="2498"/>
      <c r="I67" s="138"/>
      <c r="J67" s="3182"/>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97</v>
      </c>
      <c r="D68" s="211">
        <f>'数据-取费表'!B41</f>
        <v>5.6000000000000001E-2</v>
      </c>
      <c r="E68" s="212"/>
      <c r="F68" s="2490"/>
      <c r="G68" s="2490"/>
      <c r="H68" s="2498"/>
      <c r="I68" s="138"/>
      <c r="J68" s="3182"/>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2"/>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1" t="s">
        <v>2254</v>
      </c>
      <c r="B70" s="3142"/>
      <c r="C70" s="3142"/>
      <c r="D70" s="3142"/>
      <c r="E70" s="3142"/>
      <c r="F70" s="3142"/>
      <c r="G70" s="3142"/>
      <c r="H70" s="314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0" t="s">
        <v>2235</v>
      </c>
      <c r="B71" s="3121"/>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1737</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5" t="s">
        <v>2263</v>
      </c>
      <c r="F76" s="3092"/>
      <c r="G76" s="3092"/>
      <c r="H76" s="314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6.000000000000001E-3</v>
      </c>
      <c r="E78" s="3101" t="s">
        <v>2268</v>
      </c>
      <c r="F78" s="3102"/>
      <c r="G78" s="3102"/>
      <c r="H78" s="311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1727</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172.7</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1" t="s">
        <v>2272</v>
      </c>
      <c r="B83" s="3142"/>
      <c r="C83" s="3142"/>
      <c r="D83" s="3142"/>
      <c r="E83" s="3142"/>
      <c r="F83" s="3142"/>
      <c r="G83" s="3142"/>
      <c r="H83" s="314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0" t="s">
        <v>2235</v>
      </c>
      <c r="B84" s="3121"/>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1737</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1" t="s">
        <v>2281</v>
      </c>
      <c r="F91" s="3102"/>
      <c r="G91" s="3102"/>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1" t="s">
        <v>2285</v>
      </c>
      <c r="F92" s="3102"/>
      <c r="G92" s="3102"/>
      <c r="H92" s="311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6.000000000000001E-3</v>
      </c>
      <c r="E93" s="3101" t="s">
        <v>2268</v>
      </c>
      <c r="F93" s="3102"/>
      <c r="G93" s="3102"/>
      <c r="H93" s="311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2" t="s">
        <v>2289</v>
      </c>
      <c r="F94" s="3113"/>
      <c r="G94" s="3113"/>
      <c r="H94" s="311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1727</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172.7</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03"/>
      <c r="E100" s="3087" t="s">
        <v>2292</v>
      </c>
      <c r="F100" s="3087"/>
      <c r="G100" s="3087"/>
      <c r="H100" s="3103"/>
      <c r="I100" s="138"/>
    </row>
    <row r="101" spans="1:35" ht="18.75" customHeight="1">
      <c r="A101" s="3165" t="s">
        <v>2293</v>
      </c>
      <c r="B101" s="3166"/>
      <c r="C101" s="736" t="str">
        <f>C4</f>
        <v>比较法-办公</v>
      </c>
      <c r="D101" s="737" t="str">
        <f>D4</f>
        <v>收益法 (元) 办公</v>
      </c>
      <c r="E101" s="3179" t="s">
        <v>2294</v>
      </c>
      <c r="F101" s="3133"/>
      <c r="G101" s="2521" t="s">
        <v>2295</v>
      </c>
      <c r="H101" s="1048">
        <f ca="1">H118</f>
        <v>1824</v>
      </c>
      <c r="I101" s="138"/>
    </row>
    <row r="102" spans="1:35" ht="18.75" customHeight="1">
      <c r="A102" s="3135" t="s">
        <v>2296</v>
      </c>
      <c r="B102" s="2521" t="s">
        <v>2295</v>
      </c>
      <c r="C102" s="736">
        <f ca="1">C19</f>
        <v>1962</v>
      </c>
      <c r="D102" s="737">
        <f ca="1">D19</f>
        <v>1686</v>
      </c>
      <c r="E102" s="3179"/>
      <c r="F102" s="3133"/>
      <c r="G102" s="2521" t="s">
        <v>2297</v>
      </c>
      <c r="H102" s="371">
        <f ca="1">I118</f>
        <v>7949</v>
      </c>
      <c r="I102" s="138"/>
    </row>
    <row r="103" spans="1:35" ht="42.75" customHeight="1">
      <c r="A103" s="3135"/>
      <c r="B103" s="2521" t="s">
        <v>2297</v>
      </c>
      <c r="C103" s="738">
        <f ca="1">C20</f>
        <v>8548</v>
      </c>
      <c r="D103" s="739">
        <f ca="1">D20</f>
        <v>7348</v>
      </c>
      <c r="E103" s="3174" t="s">
        <v>2298</v>
      </c>
      <c r="F103" s="3175"/>
      <c r="G103" s="2522" t="s">
        <v>2299</v>
      </c>
      <c r="H103" s="1048">
        <f>IF(D36="正常操作",H104+H105+H106,H105+H106)</f>
        <v>0</v>
      </c>
      <c r="I103" s="138"/>
    </row>
    <row r="104" spans="1:35" ht="18.75" customHeight="1">
      <c r="A104" s="3135" t="s">
        <v>2300</v>
      </c>
      <c r="B104" s="2523" t="s">
        <v>2295</v>
      </c>
      <c r="C104" s="740">
        <f ca="1">H118</f>
        <v>1824</v>
      </c>
      <c r="D104" s="741"/>
      <c r="E104" s="2268" t="s">
        <v>2301</v>
      </c>
      <c r="F104" s="2259"/>
      <c r="G104" s="2522" t="s">
        <v>2299</v>
      </c>
      <c r="H104" s="1049">
        <f>IF(D36="同一抵押权人同一抵押物续贷",C36&amp;"（未扣减，详见特别提示）",C36)</f>
        <v>0</v>
      </c>
      <c r="I104" s="138"/>
    </row>
    <row r="105" spans="1:35" ht="18.75" customHeight="1" thickBot="1">
      <c r="A105" s="3136"/>
      <c r="B105" s="2524" t="s">
        <v>2297</v>
      </c>
      <c r="C105" s="742">
        <f ca="1">I118</f>
        <v>7949</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2" t="str">
        <f>IF(项目基本情况!E8="已注销","——","3.房地产抵押价值")</f>
        <v>3.房地产抵押价值</v>
      </c>
      <c r="F107" s="3133"/>
      <c r="G107" s="2521" t="s">
        <v>2295</v>
      </c>
      <c r="H107" s="1048">
        <f ca="1">IF(E107="——","——",H101-H103)</f>
        <v>1824</v>
      </c>
      <c r="I107" s="138"/>
    </row>
    <row r="108" spans="1:35" ht="18.75" customHeight="1">
      <c r="A108" s="138"/>
      <c r="B108" s="138"/>
      <c r="C108" s="138"/>
      <c r="D108" s="138"/>
      <c r="E108" s="3132"/>
      <c r="F108" s="3133"/>
      <c r="G108" s="2521" t="s">
        <v>2297</v>
      </c>
      <c r="H108" s="371">
        <f ca="1">ROUND(H107*10000/'数据-汇总表'!E3,0)</f>
        <v>6897</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1" t="s">
        <v>2295</v>
      </c>
      <c r="H109" s="348" t="str">
        <f>IF(E109="——","——",H101-H105-H106)</f>
        <v>——</v>
      </c>
      <c r="I109" s="138"/>
    </row>
    <row r="110" spans="1:35" ht="18.75" customHeight="1">
      <c r="A110" s="138"/>
      <c r="B110" s="138"/>
      <c r="C110" s="138"/>
      <c r="D110" s="138"/>
      <c r="E110" s="3132"/>
      <c r="F110" s="3133"/>
      <c r="G110" s="2521" t="s">
        <v>2297</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21" t="s">
        <v>2295</v>
      </c>
      <c r="H111" s="1048" t="str">
        <f>IF(E111="——","——",N59)</f>
        <v>——</v>
      </c>
      <c r="I111" s="138"/>
    </row>
    <row r="112" spans="1:35" ht="18.75" customHeight="1" thickBot="1">
      <c r="A112" s="138"/>
      <c r="B112" s="138"/>
      <c r="C112" s="138"/>
      <c r="D112" s="138"/>
      <c r="E112" s="3169"/>
      <c r="F112" s="3170"/>
      <c r="G112" s="2526" t="s">
        <v>2297</v>
      </c>
      <c r="H112" s="790" t="str">
        <f>IF(E111="——","——",N61)</f>
        <v>——</v>
      </c>
      <c r="I112" s="138"/>
    </row>
    <row r="113" spans="1:11" ht="18.75" customHeight="1">
      <c r="A113" s="138"/>
      <c r="B113" s="138"/>
      <c r="C113" s="138"/>
      <c r="D113" s="138"/>
      <c r="E113" s="3137" t="s">
        <v>2303</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2305</v>
      </c>
      <c r="B115" s="3151"/>
      <c r="C115" s="3151"/>
      <c r="D115" s="3151"/>
      <c r="E115" s="3151"/>
      <c r="F115" s="3151"/>
      <c r="G115" s="3151"/>
      <c r="H115" s="3151"/>
      <c r="I115" s="3152"/>
    </row>
    <row r="116" spans="1:11" ht="27" customHeight="1">
      <c r="A116" s="3043" t="s">
        <v>2306</v>
      </c>
      <c r="B116" s="3138" t="s">
        <v>2307</v>
      </c>
      <c r="C116" s="3138" t="s">
        <v>2308</v>
      </c>
      <c r="D116" s="3154" t="s">
        <v>2309</v>
      </c>
      <c r="E116" s="3155"/>
      <c r="F116" s="3146" t="s">
        <v>2310</v>
      </c>
      <c r="G116" s="3146"/>
      <c r="H116" s="3043" t="s">
        <v>2311</v>
      </c>
      <c r="I116" s="3043"/>
    </row>
    <row r="117" spans="1:11" ht="18.75" customHeight="1">
      <c r="A117" s="3043"/>
      <c r="B117" s="3139"/>
      <c r="C117" s="3139"/>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2294.6900000000005</v>
      </c>
      <c r="C118" s="2945">
        <f>M19</f>
        <v>587.04</v>
      </c>
      <c r="D118" s="2945">
        <f ca="1">ROUND(IF(D32="总价",C34,E118*B118/10000),0)</f>
        <v>243</v>
      </c>
      <c r="E118" s="2945">
        <f ca="1">ROUND(IF(C33="自定义",IF(D32="楼面单价",C34,D118*10000/B118),I118-G118),0)</f>
        <v>1059</v>
      </c>
      <c r="F118" s="2945">
        <f ca="1">ROUND(IF(D32="总价",C35,G118*B118/10000),0)</f>
        <v>1581</v>
      </c>
      <c r="G118" s="2945">
        <f ca="1">ROUND(IF(D32="楼面单价",C35,F118*10000/B118),0)</f>
        <v>6890</v>
      </c>
      <c r="H118" s="2945">
        <f ca="1">ROUND(IF(D32="总价",C32,I118*B118/10000),0)</f>
        <v>1824</v>
      </c>
      <c r="I118" s="2945">
        <f ca="1">ROUND(IF(D32="楼面单价",C32,H118*10000/B118),0)</f>
        <v>7949</v>
      </c>
    </row>
    <row r="119" spans="1:11" ht="18.75" customHeight="1">
      <c r="A119" s="3043" t="s">
        <v>2315</v>
      </c>
      <c r="B119" s="3043"/>
      <c r="C119" s="3043"/>
      <c r="D119" s="3143" t="str">
        <f ca="1">NUMBERSTRING(INT(D118*10000),2)&amp;"元整"</f>
        <v>贰佰肆拾叁万元整</v>
      </c>
      <c r="E119" s="3145"/>
      <c r="F119" s="3143" t="str">
        <f ca="1">NUMBERSTRING(INT(F118*10000),2)&amp;"元整"</f>
        <v>壹仟伍佰捌拾壹万元整</v>
      </c>
      <c r="G119" s="3145"/>
      <c r="H119" s="3143" t="str">
        <f ca="1">NUMBERSTRING(INT(H118*10000),2)&amp;"元整"</f>
        <v>壹仟捌佰贰拾肆万元整</v>
      </c>
      <c r="I119" s="3145"/>
    </row>
    <row r="120" spans="1:11" ht="18.75" customHeight="1">
      <c r="A120" s="3171" t="str">
        <f>IF(项目基本情况!B9="房地产市场价值","",MID(E103,3,LEN(E103)-2))</f>
        <v/>
      </c>
      <c r="B120" s="3172"/>
      <c r="C120" s="3173"/>
      <c r="D120" s="3171">
        <f>H103</f>
        <v>0</v>
      </c>
      <c r="E120" s="3172"/>
      <c r="F120" s="3172"/>
      <c r="G120" s="3172"/>
      <c r="H120" s="3172"/>
      <c r="I120" s="3173"/>
      <c r="K120" s="2424" t="str">
        <f>IF(D120=0,"故，本次评估不存在"&amp;A120,"故，本次评估"&amp;A120&amp;"为人民币"&amp;D120&amp;"万元整。")</f>
        <v>故，本次评估不存在</v>
      </c>
    </row>
    <row r="121" spans="1:11" ht="18.75" customHeight="1">
      <c r="A121" s="3147" t="s">
        <v>2315</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
      </c>
      <c r="B122" s="3134"/>
      <c r="C122" s="3134"/>
      <c r="D122" s="3171">
        <f ca="1">H107</f>
        <v>1824</v>
      </c>
      <c r="E122" s="3172"/>
      <c r="F122" s="3172"/>
      <c r="G122" s="3172"/>
      <c r="H122" s="3172"/>
      <c r="I122" s="3173"/>
    </row>
    <row r="123" spans="1:11" ht="18.75" customHeight="1">
      <c r="A123" s="3043" t="s">
        <v>2315</v>
      </c>
      <c r="B123" s="3043"/>
      <c r="C123" s="3043"/>
      <c r="D123" s="3143" t="str">
        <f ca="1">NUMBERSTRING(INT(D122*10000),2)&amp;"元整"</f>
        <v>壹仟捌佰贰拾肆万元整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2315</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2315</v>
      </c>
      <c r="B127" s="3043"/>
      <c r="C127" s="3043"/>
      <c r="D127" s="3143" t="e">
        <f>NUMBERSTRING(INT(D126*10000),2)&amp;"元整"</f>
        <v>#VALUE!</v>
      </c>
      <c r="E127" s="3144"/>
      <c r="F127" s="3144"/>
      <c r="G127" s="3144"/>
      <c r="H127" s="3144"/>
      <c r="I127" s="3145"/>
    </row>
    <row r="128" spans="1:11" ht="21.75" customHeight="1">
      <c r="A128" s="3153" t="s">
        <v>2316</v>
      </c>
      <c r="B128" s="3153"/>
      <c r="C128" s="3153"/>
      <c r="D128" s="3153"/>
      <c r="E128" s="3153"/>
      <c r="F128" s="3153"/>
      <c r="G128" s="3153"/>
      <c r="H128" s="3153"/>
      <c r="I128" s="315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928</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26524</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07" t="s">
        <v>2646</v>
      </c>
      <c r="AC4" s="3209" t="s">
        <v>2647</v>
      </c>
    </row>
    <row r="5" spans="1:29" ht="15">
      <c r="A5" s="404"/>
      <c r="B5" s="405"/>
      <c r="C5" s="3230" t="s">
        <v>3083</v>
      </c>
      <c r="D5" s="3231"/>
      <c r="E5" s="3237" t="s">
        <v>3085</v>
      </c>
      <c r="F5" s="3238"/>
      <c r="G5" s="3230" t="s">
        <v>3084</v>
      </c>
      <c r="H5" s="3231"/>
      <c r="I5" s="3230" t="s">
        <v>3117</v>
      </c>
      <c r="J5" s="3231"/>
      <c r="K5" s="610"/>
      <c r="L5" s="1133"/>
      <c r="M5" s="1134"/>
      <c r="N5" s="1134"/>
      <c r="O5" s="1134"/>
      <c r="P5" s="3218"/>
      <c r="Q5" s="3219"/>
      <c r="R5" s="3224"/>
      <c r="S5" s="3225"/>
      <c r="T5" s="3224"/>
      <c r="U5" s="3225"/>
      <c r="V5" s="3207"/>
      <c r="W5" s="3207"/>
      <c r="X5" s="1816"/>
      <c r="Y5" s="3224"/>
      <c r="Z5" s="3225"/>
      <c r="AA5" s="3210"/>
      <c r="AB5" s="3207"/>
      <c r="AC5" s="3210"/>
    </row>
    <row r="6" spans="1:29" ht="15.75" thickBot="1">
      <c r="A6" s="406"/>
      <c r="B6" s="407"/>
      <c r="C6" s="3228" t="s">
        <v>2544</v>
      </c>
      <c r="D6" s="3229"/>
      <c r="E6" s="3235" t="s">
        <v>2544</v>
      </c>
      <c r="F6" s="3236"/>
      <c r="G6" s="3228" t="s">
        <v>2544</v>
      </c>
      <c r="H6" s="3229"/>
      <c r="I6" s="3228" t="s">
        <v>2544</v>
      </c>
      <c r="J6" s="3229"/>
      <c r="K6" s="610" t="s">
        <v>2545</v>
      </c>
      <c r="L6" s="1133"/>
      <c r="M6" s="1134"/>
      <c r="N6" s="1134"/>
      <c r="O6" s="1134"/>
      <c r="P6" s="3220"/>
      <c r="Q6" s="3221"/>
      <c r="R6" s="3224"/>
      <c r="S6" s="3225"/>
      <c r="T6" s="3226"/>
      <c r="U6" s="3227"/>
      <c r="V6" s="3207"/>
      <c r="W6" s="3207"/>
      <c r="X6" s="1816"/>
      <c r="Y6" s="3226"/>
      <c r="Z6" s="3227"/>
      <c r="AA6" s="3211"/>
      <c r="AB6" s="3207"/>
      <c r="AC6" s="3211"/>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232" t="s">
        <v>2547</v>
      </c>
      <c r="Q7" s="3234"/>
      <c r="R7" s="770" t="s">
        <v>17</v>
      </c>
      <c r="S7" s="771">
        <f t="shared" ref="S7:S15" si="0">F7</f>
        <v>100</v>
      </c>
      <c r="T7" s="770" t="s">
        <v>17</v>
      </c>
      <c r="U7" s="771">
        <f t="shared" ref="U7:U15" si="1">H7</f>
        <v>100</v>
      </c>
      <c r="V7" s="770" t="s">
        <v>17</v>
      </c>
      <c r="W7" s="771">
        <f t="shared" ref="W7:W15" si="2">J7</f>
        <v>100</v>
      </c>
      <c r="X7" s="772"/>
      <c r="Y7" s="3232" t="s">
        <v>2547</v>
      </c>
      <c r="Z7" s="3233"/>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232" t="s">
        <v>2550</v>
      </c>
      <c r="Q8" s="3233"/>
      <c r="R8" s="770" t="s">
        <v>17</v>
      </c>
      <c r="S8" s="771">
        <f t="shared" si="0"/>
        <v>100</v>
      </c>
      <c r="T8" s="770" t="s">
        <v>17</v>
      </c>
      <c r="U8" s="771">
        <f t="shared" si="1"/>
        <v>100</v>
      </c>
      <c r="V8" s="770" t="s">
        <v>17</v>
      </c>
      <c r="W8" s="771">
        <f t="shared" si="2"/>
        <v>100</v>
      </c>
      <c r="X8" s="772"/>
      <c r="Y8" s="3232" t="s">
        <v>2550</v>
      </c>
      <c r="Z8" s="3233"/>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8"/>
      <c r="Q11" s="1798"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2557</v>
      </c>
      <c r="B15" s="69" t="s">
        <v>2651</v>
      </c>
      <c r="C15" s="2606" t="str">
        <f>估价对象房地状况!C4</f>
        <v>估价对象周边商业氛围一般，人流量较大，商业繁华度一般</v>
      </c>
      <c r="D15" s="441">
        <v>100</v>
      </c>
      <c r="E15" s="2986" t="s">
        <v>3118</v>
      </c>
      <c r="F15" s="443">
        <f>SUMIF(76:76,E16,77:77)-SUMIF(76:76,C16,77:77)+100</f>
        <v>100</v>
      </c>
      <c r="G15" s="2987" t="s">
        <v>3118</v>
      </c>
      <c r="H15" s="441">
        <f>SUMIF(76:76,G16,77:77)-SUMIF(76:76,C16,77:77)+100</f>
        <v>100</v>
      </c>
      <c r="I15" s="3329" t="s">
        <v>3119</v>
      </c>
      <c r="J15" s="441">
        <f>SUMIF(76:76,I16,77:77)-SUMIF(76:76,C16,77:77)+100</f>
        <v>102</v>
      </c>
      <c r="K15" s="614">
        <v>2</v>
      </c>
      <c r="L15" s="1143"/>
      <c r="M15" s="1134"/>
      <c r="N15" s="1134"/>
      <c r="O15" s="1134"/>
      <c r="P15" s="3198" t="s">
        <v>2558</v>
      </c>
      <c r="Q15" s="1813" t="str">
        <f t="shared" si="6"/>
        <v>商业繁华度</v>
      </c>
      <c r="R15" s="774" t="s">
        <v>17</v>
      </c>
      <c r="S15" s="775">
        <f t="shared" si="0"/>
        <v>100</v>
      </c>
      <c r="T15" s="774" t="s">
        <v>17</v>
      </c>
      <c r="U15" s="775">
        <f t="shared" si="1"/>
        <v>100</v>
      </c>
      <c r="V15" s="774" t="s">
        <v>17</v>
      </c>
      <c r="W15" s="775">
        <f t="shared" si="2"/>
        <v>102</v>
      </c>
      <c r="X15" s="1816"/>
      <c r="Y15" s="3200" t="s">
        <v>2558</v>
      </c>
      <c r="Z15" s="1817" t="str">
        <f t="shared" si="7"/>
        <v>商业繁华度</v>
      </c>
      <c r="AA15" s="1814">
        <f t="shared" si="3"/>
        <v>1</v>
      </c>
      <c r="AB15" s="1814">
        <f t="shared" si="4"/>
        <v>1</v>
      </c>
      <c r="AC15" s="1814">
        <f t="shared" si="5"/>
        <v>0.98039215686274506</v>
      </c>
    </row>
    <row r="16" spans="1:29" ht="15">
      <c r="A16" s="428"/>
      <c r="B16" s="446"/>
      <c r="C16" s="447" t="s">
        <v>3088</v>
      </c>
      <c r="D16" s="448"/>
      <c r="E16" s="447" t="s">
        <v>3088</v>
      </c>
      <c r="F16" s="449"/>
      <c r="G16" s="447" t="s">
        <v>3088</v>
      </c>
      <c r="H16" s="450"/>
      <c r="I16" s="447" t="s">
        <v>3089</v>
      </c>
      <c r="J16" s="448"/>
      <c r="K16" s="615"/>
      <c r="L16" s="1143"/>
      <c r="M16" s="1134"/>
      <c r="N16" s="1134"/>
      <c r="O16" s="1134"/>
      <c r="P16" s="3199"/>
      <c r="Q16" s="1813"/>
      <c r="R16" s="774"/>
      <c r="S16" s="775"/>
      <c r="T16" s="774"/>
      <c r="U16" s="775"/>
      <c r="V16" s="774"/>
      <c r="W16" s="775"/>
      <c r="X16" s="1816"/>
      <c r="Y16" s="3201"/>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2989" t="s">
        <v>3122</v>
      </c>
      <c r="F17" s="453">
        <f>SUMIF(78:78,E18,79:79)-SUMIF(78:78,C18,79:79)+100</f>
        <v>100</v>
      </c>
      <c r="G17" s="2990" t="s">
        <v>3127</v>
      </c>
      <c r="H17" s="455">
        <f>SUMIF(78:78,G18,79:79)-SUMIF(78:78,C18,79:79)+100</f>
        <v>98</v>
      </c>
      <c r="I17" s="2989" t="s">
        <v>3123</v>
      </c>
      <c r="J17" s="455">
        <f>SUMIF(78:78,I18,79:79)-SUMIF(78:78,C18,79:79)+100</f>
        <v>100</v>
      </c>
      <c r="K17" s="614">
        <v>2</v>
      </c>
      <c r="L17" s="1143"/>
      <c r="M17" s="1134"/>
      <c r="N17" s="1134"/>
      <c r="O17" s="1134"/>
      <c r="P17" s="3199"/>
      <c r="Q17" s="1813" t="str">
        <f>B17</f>
        <v>交通便捷度</v>
      </c>
      <c r="R17" s="774" t="s">
        <v>17</v>
      </c>
      <c r="S17" s="775">
        <f>F17</f>
        <v>100</v>
      </c>
      <c r="T17" s="774" t="s">
        <v>17</v>
      </c>
      <c r="U17" s="775">
        <f>H17</f>
        <v>98</v>
      </c>
      <c r="V17" s="774" t="s">
        <v>17</v>
      </c>
      <c r="W17" s="775">
        <f>J17</f>
        <v>100</v>
      </c>
      <c r="X17" s="1816"/>
      <c r="Y17" s="3201"/>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199"/>
      <c r="Q18" s="1813"/>
      <c r="R18" s="774"/>
      <c r="S18" s="775"/>
      <c r="T18" s="774"/>
      <c r="U18" s="775"/>
      <c r="V18" s="774"/>
      <c r="W18" s="775"/>
      <c r="X18" s="1816"/>
      <c r="Y18" s="3201"/>
      <c r="Z18" s="1817"/>
      <c r="AA18" s="1814">
        <v>1</v>
      </c>
      <c r="AB18" s="1814">
        <v>1</v>
      </c>
      <c r="AC18" s="1814">
        <v>1</v>
      </c>
    </row>
    <row r="19" spans="1:29" ht="42.75">
      <c r="A19" s="428"/>
      <c r="B19" s="451" t="s">
        <v>2652</v>
      </c>
      <c r="C19" s="2610" t="str">
        <f>估价对象房地状况!C7</f>
        <v>估价对象所在区域公共配套设施较齐备</v>
      </c>
      <c r="D19" s="455">
        <v>100</v>
      </c>
      <c r="E19" s="2991" t="s">
        <v>3130</v>
      </c>
      <c r="F19" s="458">
        <f>SUMIF(80:80,E20,81:81)-SUMIF(80:80,C20,81:81)+100</f>
        <v>100</v>
      </c>
      <c r="G19" s="2992" t="s">
        <v>3130</v>
      </c>
      <c r="H19" s="450">
        <f>SUMIF(80:80,G20,81:81)-SUMIF(80:80,C20,81:81)+100</f>
        <v>100</v>
      </c>
      <c r="I19" s="2991" t="s">
        <v>3130</v>
      </c>
      <c r="J19" s="450">
        <f>SUMIF(80:80,I20,81:81)-SUMIF(80:80,C20,81:81)+100</f>
        <v>100</v>
      </c>
      <c r="K19" s="614">
        <v>2</v>
      </c>
      <c r="L19" s="1143"/>
      <c r="M19" s="1134"/>
      <c r="N19" s="1134"/>
      <c r="O19" s="1134"/>
      <c r="P19" s="3199"/>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199"/>
      <c r="Q20" s="1813"/>
      <c r="R20" s="774"/>
      <c r="S20" s="775"/>
      <c r="T20" s="774"/>
      <c r="U20" s="775"/>
      <c r="V20" s="774"/>
      <c r="W20" s="775"/>
      <c r="X20" s="1816"/>
      <c r="Y20" s="3201"/>
      <c r="Z20" s="1817"/>
      <c r="AA20" s="1814">
        <v>1</v>
      </c>
      <c r="AB20" s="1814">
        <v>1</v>
      </c>
      <c r="AC20" s="1814">
        <v>1</v>
      </c>
    </row>
    <row r="21" spans="1:29" ht="28.5">
      <c r="A21" s="428"/>
      <c r="B21" s="1387" t="s">
        <v>2653</v>
      </c>
      <c r="C21" s="2610" t="str">
        <f>估价对象房地状况!C8</f>
        <v>估价对象所在区域基础设施七通</v>
      </c>
      <c r="D21" s="455">
        <v>100</v>
      </c>
      <c r="E21" s="2991" t="s">
        <v>3132</v>
      </c>
      <c r="F21" s="458">
        <f>SUMIF(82:82,E22,83:83)-SUMIF(82:82,C22,83:83)+100</f>
        <v>100</v>
      </c>
      <c r="G21" s="2992" t="s">
        <v>3132</v>
      </c>
      <c r="H21" s="450">
        <f>SUMIF(82:82,G22,83:83)-SUMIF(82:82,C22,83:83)+100</f>
        <v>100</v>
      </c>
      <c r="I21" s="2991" t="s">
        <v>3133</v>
      </c>
      <c r="J21" s="450">
        <f>SUMIF(82:82,I22,83:83)-SUMIF(82:82,C22,83:83)+100</f>
        <v>100</v>
      </c>
      <c r="K21" s="614">
        <v>2</v>
      </c>
      <c r="L21" s="1143"/>
      <c r="M21" s="1134"/>
      <c r="N21" s="1134"/>
      <c r="O21" s="1134"/>
      <c r="P21" s="3199"/>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199"/>
      <c r="Q22" s="1813"/>
      <c r="R22" s="774"/>
      <c r="S22" s="775"/>
      <c r="T22" s="774"/>
      <c r="U22" s="775"/>
      <c r="V22" s="774"/>
      <c r="W22" s="775"/>
      <c r="X22" s="1816"/>
      <c r="Y22" s="3201"/>
      <c r="Z22" s="1817"/>
      <c r="AA22" s="1814">
        <v>1</v>
      </c>
      <c r="AB22" s="1814">
        <v>1</v>
      </c>
      <c r="AC22" s="1814">
        <v>1</v>
      </c>
    </row>
    <row r="23" spans="1:29" ht="57">
      <c r="A23" s="428"/>
      <c r="B23" s="451" t="s">
        <v>2100</v>
      </c>
      <c r="C23" s="2667" t="str">
        <f>估价对象房地状况!C9</f>
        <v>区域自然环境：；人文环境；综合评价环境状况较好</v>
      </c>
      <c r="D23" s="450">
        <v>100</v>
      </c>
      <c r="E23" s="2989" t="s">
        <v>3140</v>
      </c>
      <c r="F23" s="453">
        <f>SUMIF(84:84,E24,85:85)-SUMIF(84:84,C24,85:85)+100</f>
        <v>98</v>
      </c>
      <c r="G23" s="2990" t="s">
        <v>3136</v>
      </c>
      <c r="H23" s="450">
        <f>SUMIF(84:84,G24,85:85)-SUMIF(84:84,C24,85:85)+100</f>
        <v>100</v>
      </c>
      <c r="I23" s="2989" t="s">
        <v>3137</v>
      </c>
      <c r="J23" s="450">
        <f>SUMIF(84:84,I24,85:85)-SUMIF(84:84,C24,85:85)+100</f>
        <v>100</v>
      </c>
      <c r="K23" s="614">
        <v>2</v>
      </c>
      <c r="L23" s="1143"/>
      <c r="M23" s="1134"/>
      <c r="N23" s="1134"/>
      <c r="O23" s="1134"/>
      <c r="P23" s="3199"/>
      <c r="Q23" s="1813" t="str">
        <f>B23</f>
        <v>自然及人文环境</v>
      </c>
      <c r="R23" s="774" t="s">
        <v>17</v>
      </c>
      <c r="S23" s="775">
        <f>F23</f>
        <v>98</v>
      </c>
      <c r="T23" s="774" t="s">
        <v>17</v>
      </c>
      <c r="U23" s="775">
        <f>H23</f>
        <v>100</v>
      </c>
      <c r="V23" s="774" t="s">
        <v>17</v>
      </c>
      <c r="W23" s="775">
        <f>J23</f>
        <v>100</v>
      </c>
      <c r="X23" s="1816"/>
      <c r="Y23" s="3201"/>
      <c r="Z23" s="1817" t="str">
        <f>Q23</f>
        <v>自然及人文环境</v>
      </c>
      <c r="AA23" s="1814">
        <f t="shared" si="3"/>
        <v>1.0204081632653061</v>
      </c>
      <c r="AB23" s="1814">
        <f t="shared" si="4"/>
        <v>1</v>
      </c>
      <c r="AC23" s="1814">
        <f t="shared" si="5"/>
        <v>1</v>
      </c>
    </row>
    <row r="24" spans="1:29" ht="15">
      <c r="A24" s="428"/>
      <c r="B24" s="456"/>
      <c r="C24" s="447" t="s">
        <v>3089</v>
      </c>
      <c r="D24" s="448"/>
      <c r="E24" s="2974" t="s">
        <v>3088</v>
      </c>
      <c r="F24" s="449"/>
      <c r="G24" s="2975" t="s">
        <v>3092</v>
      </c>
      <c r="H24" s="448"/>
      <c r="I24" s="2974" t="s">
        <v>3092</v>
      </c>
      <c r="J24" s="448"/>
      <c r="K24" s="615"/>
      <c r="L24" s="1143"/>
      <c r="M24" s="1134"/>
      <c r="N24" s="1134"/>
      <c r="O24" s="1134"/>
      <c r="P24" s="3199"/>
      <c r="Q24" s="1813"/>
      <c r="R24" s="774"/>
      <c r="S24" s="775"/>
      <c r="T24" s="774"/>
      <c r="U24" s="775"/>
      <c r="V24" s="774"/>
      <c r="W24" s="775"/>
      <c r="X24" s="1816"/>
      <c r="Y24" s="3201"/>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201"/>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201"/>
      <c r="Z26" s="1817" t="str">
        <f>Q26</f>
        <v>平面位置/可视性</v>
      </c>
      <c r="AA26" s="1814">
        <f t="shared" si="3"/>
        <v>1</v>
      </c>
      <c r="AB26" s="1814">
        <f t="shared" si="4"/>
        <v>1</v>
      </c>
      <c r="AC26" s="1814">
        <f t="shared" si="5"/>
        <v>1</v>
      </c>
    </row>
    <row r="27" spans="1:29" s="117" customFormat="1" ht="15">
      <c r="A27" s="431"/>
      <c r="B27" s="451" t="s">
        <v>2656</v>
      </c>
      <c r="C27" s="2977" t="s">
        <v>3094</v>
      </c>
      <c r="D27" s="462">
        <v>100</v>
      </c>
      <c r="E27" s="2977" t="s">
        <v>3094</v>
      </c>
      <c r="F27" s="464">
        <f>SUMIF(90:90,E27,91:91)-SUMIF(90:90,C27,91:91)+100</f>
        <v>100</v>
      </c>
      <c r="G27" s="2977" t="s">
        <v>3094</v>
      </c>
      <c r="H27" s="462">
        <f>SUMIF(90:90,G27,91:91)-SUMIF(90:90,C27,91:91)+100</f>
        <v>100</v>
      </c>
      <c r="I27" s="2977" t="s">
        <v>3094</v>
      </c>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201"/>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20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20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201"/>
      <c r="Z31" s="1817">
        <f t="shared" si="15"/>
        <v>111</v>
      </c>
      <c r="AA31" s="1814">
        <f t="shared" si="3"/>
        <v>1</v>
      </c>
      <c r="AB31" s="1814">
        <f t="shared" si="4"/>
        <v>1</v>
      </c>
      <c r="AC31" s="1814">
        <f t="shared" si="5"/>
        <v>1</v>
      </c>
    </row>
    <row r="32" spans="1:29" ht="15">
      <c r="A32" s="440" t="s">
        <v>2561</v>
      </c>
      <c r="B32" s="71" t="s">
        <v>2658</v>
      </c>
      <c r="C32" s="2978" t="s">
        <v>3096</v>
      </c>
      <c r="D32" s="467">
        <v>100</v>
      </c>
      <c r="E32" s="2978" t="s">
        <v>3095</v>
      </c>
      <c r="F32" s="461">
        <f>SUMIF(100:100,E32,101:101)-SUMIF(100:100,C32,101:101)+100</f>
        <v>100</v>
      </c>
      <c r="G32" s="2978" t="s">
        <v>3095</v>
      </c>
      <c r="H32" s="435">
        <f>SUMIF(100:100,G32,101:101)-SUMIF(100:100,C32,101:101)+100</f>
        <v>100</v>
      </c>
      <c r="I32" s="2978" t="s">
        <v>3095</v>
      </c>
      <c r="J32" s="467">
        <f>SUMIF(100:100,I32,101:101)-SUMIF(100:100,C32,101:101)+100</f>
        <v>100</v>
      </c>
      <c r="K32" s="612"/>
      <c r="L32" s="1143"/>
      <c r="M32" s="1134"/>
      <c r="N32" s="1134"/>
      <c r="O32" s="1134"/>
      <c r="P32" s="3202" t="s">
        <v>2563</v>
      </c>
      <c r="Q32" s="1813" t="str">
        <f t="shared" si="11"/>
        <v>商业类型</v>
      </c>
      <c r="R32" s="774" t="s">
        <v>17</v>
      </c>
      <c r="S32" s="775">
        <f t="shared" si="12"/>
        <v>100</v>
      </c>
      <c r="T32" s="774" t="s">
        <v>17</v>
      </c>
      <c r="U32" s="775">
        <f t="shared" si="13"/>
        <v>100</v>
      </c>
      <c r="V32" s="774" t="s">
        <v>17</v>
      </c>
      <c r="W32" s="775">
        <f t="shared" si="14"/>
        <v>100</v>
      </c>
      <c r="X32" s="1816"/>
      <c r="Y32" s="3205" t="s">
        <v>2563</v>
      </c>
      <c r="Z32" s="1817" t="str">
        <f t="shared" si="15"/>
        <v>商业类型</v>
      </c>
      <c r="AA32" s="1814">
        <f t="shared" si="3"/>
        <v>1</v>
      </c>
      <c r="AB32" s="1814">
        <f t="shared" si="4"/>
        <v>1</v>
      </c>
      <c r="AC32" s="1814">
        <f t="shared" si="5"/>
        <v>1</v>
      </c>
    </row>
    <row r="33" spans="1:29" s="471" customFormat="1" ht="15">
      <c r="A33" s="468"/>
      <c r="B33" s="422" t="s">
        <v>2564</v>
      </c>
      <c r="C33" s="3330"/>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03"/>
      <c r="Q33" s="776" t="str">
        <f t="shared" si="11"/>
        <v>项目建筑规模</v>
      </c>
      <c r="R33" s="777" t="s">
        <v>17</v>
      </c>
      <c r="S33" s="778">
        <f t="shared" si="12"/>
        <v>100</v>
      </c>
      <c r="T33" s="777" t="s">
        <v>17</v>
      </c>
      <c r="U33" s="778">
        <f t="shared" si="13"/>
        <v>100</v>
      </c>
      <c r="V33" s="777" t="s">
        <v>17</v>
      </c>
      <c r="W33" s="778">
        <f t="shared" si="14"/>
        <v>100</v>
      </c>
      <c r="X33" s="779"/>
      <c r="Y33" s="3205"/>
      <c r="Z33" s="780" t="str">
        <f t="shared" si="15"/>
        <v>项目建筑规模</v>
      </c>
      <c r="AA33" s="1814">
        <f t="shared" si="3"/>
        <v>1</v>
      </c>
      <c r="AB33" s="1814">
        <f t="shared" si="4"/>
        <v>1</v>
      </c>
      <c r="AC33" s="1814">
        <f t="shared" si="5"/>
        <v>1</v>
      </c>
    </row>
    <row r="34" spans="1:29" ht="15">
      <c r="A34" s="472"/>
      <c r="B34" s="422" t="s">
        <v>2565</v>
      </c>
      <c r="C34" s="2979" t="s">
        <v>3097</v>
      </c>
      <c r="D34" s="435">
        <v>100</v>
      </c>
      <c r="E34" s="2979" t="s">
        <v>3097</v>
      </c>
      <c r="F34" s="461">
        <f>SUMIF(105:105,E34,106:106)-SUMIF(105:105,C34,106:106)+100</f>
        <v>100</v>
      </c>
      <c r="G34" s="2979" t="s">
        <v>3097</v>
      </c>
      <c r="H34" s="435">
        <f>SUMIF(105:105,G34,106:106)-SUMIF(105:105,C34,106:106)+100</f>
        <v>100</v>
      </c>
      <c r="I34" s="2979" t="s">
        <v>3097</v>
      </c>
      <c r="J34" s="435">
        <f>SUMIF(105:105,I34,106:106)-SUMIF(105:105,C34,106:106)+100</f>
        <v>100</v>
      </c>
      <c r="K34" s="612"/>
      <c r="L34" s="1143"/>
      <c r="M34" s="1134"/>
      <c r="N34" s="1134"/>
      <c r="O34" s="1134"/>
      <c r="P34" s="3203"/>
      <c r="Q34" s="1813" t="str">
        <f t="shared" si="11"/>
        <v>建筑结构</v>
      </c>
      <c r="R34" s="774" t="s">
        <v>17</v>
      </c>
      <c r="S34" s="775">
        <f t="shared" si="12"/>
        <v>100</v>
      </c>
      <c r="T34" s="774" t="s">
        <v>17</v>
      </c>
      <c r="U34" s="775">
        <f t="shared" si="13"/>
        <v>100</v>
      </c>
      <c r="V34" s="774" t="s">
        <v>17</v>
      </c>
      <c r="W34" s="775">
        <f t="shared" si="14"/>
        <v>100</v>
      </c>
      <c r="X34" s="1816"/>
      <c r="Y34" s="3205"/>
      <c r="Z34" s="1817" t="str">
        <f t="shared" si="15"/>
        <v>建筑结构</v>
      </c>
      <c r="AA34" s="1814">
        <f t="shared" si="3"/>
        <v>1</v>
      </c>
      <c r="AB34" s="1814">
        <f t="shared" si="4"/>
        <v>1</v>
      </c>
      <c r="AC34" s="1814">
        <f t="shared" si="5"/>
        <v>1</v>
      </c>
    </row>
    <row r="35" spans="1:29" ht="15">
      <c r="A35" s="472"/>
      <c r="B35" s="422" t="s">
        <v>2659</v>
      </c>
      <c r="C35" s="2980" t="s">
        <v>3101</v>
      </c>
      <c r="D35" s="435">
        <v>100</v>
      </c>
      <c r="E35" s="2980" t="s">
        <v>3101</v>
      </c>
      <c r="F35" s="461">
        <f>SUMIF(107:107,E35,108:108)-SUMIF(107:107,C35,108:108)+100</f>
        <v>100</v>
      </c>
      <c r="G35" s="2980" t="s">
        <v>3101</v>
      </c>
      <c r="H35" s="435">
        <f>SUMIF(107:107,G35,108:108)-SUMIF(107:107,C35,108:108)+100</f>
        <v>100</v>
      </c>
      <c r="I35" s="2980" t="s">
        <v>3101</v>
      </c>
      <c r="J35" s="435">
        <f>SUMIF(107:107,I35,108:108)-SUMIF(107:107,C35,108:108)+100</f>
        <v>100</v>
      </c>
      <c r="K35" s="612"/>
      <c r="L35" s="1143"/>
      <c r="M35" s="1134"/>
      <c r="N35" s="1134"/>
      <c r="O35" s="1134"/>
      <c r="P35" s="3203"/>
      <c r="Q35" s="1813" t="str">
        <f t="shared" si="11"/>
        <v>公共部分装修</v>
      </c>
      <c r="R35" s="774" t="s">
        <v>17</v>
      </c>
      <c r="S35" s="775">
        <f t="shared" si="12"/>
        <v>100</v>
      </c>
      <c r="T35" s="774" t="s">
        <v>17</v>
      </c>
      <c r="U35" s="775">
        <f t="shared" si="13"/>
        <v>100</v>
      </c>
      <c r="V35" s="774" t="s">
        <v>17</v>
      </c>
      <c r="W35" s="775">
        <f t="shared" si="14"/>
        <v>100</v>
      </c>
      <c r="X35" s="1816"/>
      <c r="Y35" s="3205"/>
      <c r="Z35" s="1817" t="str">
        <f t="shared" si="15"/>
        <v>公共部分装修</v>
      </c>
      <c r="AA35" s="1814">
        <f t="shared" si="3"/>
        <v>1</v>
      </c>
      <c r="AB35" s="1814">
        <f t="shared" si="4"/>
        <v>1</v>
      </c>
      <c r="AC35" s="1814">
        <f t="shared" si="5"/>
        <v>1</v>
      </c>
    </row>
    <row r="36" spans="1:29" ht="15">
      <c r="A36" s="472"/>
      <c r="B36" s="422" t="s">
        <v>2660</v>
      </c>
      <c r="C36" s="474">
        <v>0.98</v>
      </c>
      <c r="D36" s="435">
        <v>100</v>
      </c>
      <c r="E36" s="474">
        <v>0.98</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03"/>
      <c r="Q36" s="1813" t="str">
        <f t="shared" si="11"/>
        <v>成新度</v>
      </c>
      <c r="R36" s="774" t="s">
        <v>17</v>
      </c>
      <c r="S36" s="775">
        <f t="shared" si="12"/>
        <v>100</v>
      </c>
      <c r="T36" s="774" t="s">
        <v>17</v>
      </c>
      <c r="U36" s="775">
        <f t="shared" si="13"/>
        <v>100</v>
      </c>
      <c r="V36" s="774" t="s">
        <v>17</v>
      </c>
      <c r="W36" s="775">
        <f t="shared" si="14"/>
        <v>100</v>
      </c>
      <c r="X36" s="1816"/>
      <c r="Y36" s="3205"/>
      <c r="Z36" s="1817" t="str">
        <f t="shared" si="15"/>
        <v>成新度</v>
      </c>
      <c r="AA36" s="1814">
        <f t="shared" si="3"/>
        <v>1</v>
      </c>
      <c r="AB36" s="1814">
        <f t="shared" si="4"/>
        <v>1</v>
      </c>
      <c r="AC36" s="1814">
        <f t="shared" si="5"/>
        <v>1</v>
      </c>
    </row>
    <row r="37" spans="1:29" s="117" customFormat="1" ht="15">
      <c r="A37" s="473"/>
      <c r="B37" s="422" t="s">
        <v>2661</v>
      </c>
      <c r="C37" s="2980" t="s">
        <v>3098</v>
      </c>
      <c r="D37" s="136">
        <v>100</v>
      </c>
      <c r="E37" s="2980" t="s">
        <v>3098</v>
      </c>
      <c r="F37" s="461">
        <f>SUMIF(112:112,E37,113:113)-SUMIF(112:112,C37,113:113)+100</f>
        <v>100</v>
      </c>
      <c r="G37" s="2980" t="s">
        <v>3098</v>
      </c>
      <c r="H37" s="435">
        <f>SUMIF(112:112,G37,113:113)-SUMIF(112:112,C37,113:113)+100</f>
        <v>100</v>
      </c>
      <c r="I37" s="2980" t="s">
        <v>3098</v>
      </c>
      <c r="J37" s="435">
        <f>SUMIF(112:112,I37,113:113)-SUMIF(112:112,C37,113:113)+100</f>
        <v>100</v>
      </c>
      <c r="K37" s="612"/>
      <c r="L37" s="1135"/>
      <c r="M37" s="1136"/>
      <c r="N37" s="1136"/>
      <c r="O37" s="1136"/>
      <c r="P37" s="3203"/>
      <c r="Q37" s="1798"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3" t="s">
        <v>2563</v>
      </c>
      <c r="Q38" s="1813" t="str">
        <f t="shared" si="11"/>
        <v>业态</v>
      </c>
      <c r="R38" s="774" t="s">
        <v>17</v>
      </c>
      <c r="S38" s="775">
        <f t="shared" si="12"/>
        <v>100</v>
      </c>
      <c r="T38" s="774" t="s">
        <v>17</v>
      </c>
      <c r="U38" s="775">
        <f t="shared" si="13"/>
        <v>100</v>
      </c>
      <c r="V38" s="774" t="s">
        <v>17</v>
      </c>
      <c r="W38" s="775">
        <f t="shared" si="14"/>
        <v>100</v>
      </c>
      <c r="X38" s="1816"/>
      <c r="Y38" s="3205" t="s">
        <v>2563</v>
      </c>
      <c r="Z38" s="1817" t="str">
        <f t="shared" si="15"/>
        <v>业态</v>
      </c>
      <c r="AA38" s="1814">
        <f t="shared" si="3"/>
        <v>1</v>
      </c>
      <c r="AB38" s="1814">
        <f t="shared" si="4"/>
        <v>1</v>
      </c>
      <c r="AC38" s="1814">
        <f t="shared" si="5"/>
        <v>1</v>
      </c>
    </row>
    <row r="39" spans="1:29" ht="15">
      <c r="A39" s="472"/>
      <c r="B39" s="422" t="s">
        <v>2663</v>
      </c>
      <c r="C39" s="2616" t="s">
        <v>3099</v>
      </c>
      <c r="D39" s="435">
        <v>100</v>
      </c>
      <c r="E39" s="2616" t="s">
        <v>3099</v>
      </c>
      <c r="F39" s="461">
        <f>SUMIF(116:116,E39,117:117)-SUMIF(116:116,C39,117:117)+100</f>
        <v>100</v>
      </c>
      <c r="G39" s="2616" t="s">
        <v>3099</v>
      </c>
      <c r="H39" s="435">
        <f>SUMIF(116:116,G39,117:117)-SUMIF(116:116,C39,117:117)+100</f>
        <v>100</v>
      </c>
      <c r="I39" s="2616" t="s">
        <v>3099</v>
      </c>
      <c r="J39" s="435">
        <f>SUMIF(116:116,I39,117:117)-SUMIF(116:116,C39,117:117)+100</f>
        <v>100</v>
      </c>
      <c r="K39" s="612"/>
      <c r="L39" s="1143"/>
      <c r="M39" s="1134"/>
      <c r="N39" s="1134"/>
      <c r="O39" s="1134"/>
      <c r="P39" s="3203"/>
      <c r="Q39" s="1813" t="str">
        <f t="shared" si="11"/>
        <v>层高</v>
      </c>
      <c r="R39" s="774" t="s">
        <v>17</v>
      </c>
      <c r="S39" s="775">
        <f t="shared" si="12"/>
        <v>100</v>
      </c>
      <c r="T39" s="774" t="s">
        <v>17</v>
      </c>
      <c r="U39" s="775">
        <f t="shared" si="13"/>
        <v>100</v>
      </c>
      <c r="V39" s="774" t="s">
        <v>17</v>
      </c>
      <c r="W39" s="775">
        <f t="shared" si="14"/>
        <v>100</v>
      </c>
      <c r="X39" s="1816"/>
      <c r="Y39" s="3205"/>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3"/>
      <c r="Q40" s="1813" t="str">
        <f t="shared" si="11"/>
        <v>单套建筑面积</v>
      </c>
      <c r="R40" s="774" t="s">
        <v>17</v>
      </c>
      <c r="S40" s="775">
        <f t="shared" si="12"/>
        <v>100</v>
      </c>
      <c r="T40" s="774" t="s">
        <v>17</v>
      </c>
      <c r="U40" s="775">
        <f t="shared" si="13"/>
        <v>100</v>
      </c>
      <c r="V40" s="774" t="s">
        <v>17</v>
      </c>
      <c r="W40" s="775">
        <f t="shared" si="14"/>
        <v>100</v>
      </c>
      <c r="X40" s="1816"/>
      <c r="Y40" s="3205"/>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3"/>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814">
        <f t="shared" si="3"/>
        <v>1</v>
      </c>
      <c r="AB41" s="1814">
        <f t="shared" si="4"/>
        <v>1</v>
      </c>
      <c r="AC41" s="1814">
        <f t="shared" si="5"/>
        <v>1</v>
      </c>
    </row>
    <row r="42" spans="1:29" ht="15">
      <c r="A42" s="472"/>
      <c r="B42" s="422" t="s">
        <v>2666</v>
      </c>
      <c r="C42" s="2980" t="s">
        <v>3100</v>
      </c>
      <c r="D42" s="435">
        <v>100</v>
      </c>
      <c r="E42" s="2980" t="s">
        <v>3100</v>
      </c>
      <c r="F42" s="461">
        <f>SUMIF(122:122,E42,123:123)-SUMIF(122:122,C42,123:123)+100</f>
        <v>100</v>
      </c>
      <c r="G42" s="2980" t="s">
        <v>3100</v>
      </c>
      <c r="H42" s="435">
        <f>SUMIF(122:122,G42,123:123)-SUMIF(122:122,C42,123:123)+100</f>
        <v>100</v>
      </c>
      <c r="I42" s="2980" t="s">
        <v>3100</v>
      </c>
      <c r="J42" s="435">
        <f>SUMIF(122:122,I42,123:123)-SUMIF(122:122,C42,123:123)+100</f>
        <v>100</v>
      </c>
      <c r="K42" s="612"/>
      <c r="L42" s="1143"/>
      <c r="M42" s="1134"/>
      <c r="N42" s="1134"/>
      <c r="O42" s="1134"/>
      <c r="P42" s="3203"/>
      <c r="Q42" s="1813" t="str">
        <f t="shared" si="11"/>
        <v>内部装修</v>
      </c>
      <c r="R42" s="774" t="s">
        <v>17</v>
      </c>
      <c r="S42" s="775">
        <f t="shared" si="12"/>
        <v>100</v>
      </c>
      <c r="T42" s="774" t="s">
        <v>17</v>
      </c>
      <c r="U42" s="775">
        <f t="shared" si="13"/>
        <v>100</v>
      </c>
      <c r="V42" s="774" t="s">
        <v>17</v>
      </c>
      <c r="W42" s="775">
        <f t="shared" si="14"/>
        <v>100</v>
      </c>
      <c r="X42" s="1816"/>
      <c r="Y42" s="3205"/>
      <c r="Z42" s="1817" t="str">
        <f t="shared" si="15"/>
        <v>内部装修</v>
      </c>
      <c r="AA42" s="1814">
        <f t="shared" si="3"/>
        <v>1</v>
      </c>
      <c r="AB42" s="1814">
        <f t="shared" si="4"/>
        <v>1</v>
      </c>
      <c r="AC42" s="1814">
        <f t="shared" si="5"/>
        <v>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03"/>
      <c r="Q43" s="1813" t="str">
        <f t="shared" si="11"/>
        <v>内部装修维护情况</v>
      </c>
      <c r="R43" s="774" t="s">
        <v>17</v>
      </c>
      <c r="S43" s="775">
        <f t="shared" si="12"/>
        <v>100</v>
      </c>
      <c r="T43" s="774" t="s">
        <v>17</v>
      </c>
      <c r="U43" s="775">
        <f t="shared" si="13"/>
        <v>100</v>
      </c>
      <c r="V43" s="774" t="s">
        <v>17</v>
      </c>
      <c r="W43" s="775">
        <f t="shared" si="14"/>
        <v>100</v>
      </c>
      <c r="X43" s="1816"/>
      <c r="Y43" s="320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3"/>
      <c r="Q44" s="1798">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3"/>
      <c r="Q45" s="1813">
        <f t="shared" si="11"/>
        <v>111</v>
      </c>
      <c r="R45" s="774" t="s">
        <v>17</v>
      </c>
      <c r="S45" s="775">
        <f t="shared" si="12"/>
        <v>100</v>
      </c>
      <c r="T45" s="774" t="s">
        <v>17</v>
      </c>
      <c r="U45" s="775">
        <f t="shared" si="13"/>
        <v>100</v>
      </c>
      <c r="V45" s="774" t="s">
        <v>17</v>
      </c>
      <c r="W45" s="775">
        <f t="shared" si="14"/>
        <v>100</v>
      </c>
      <c r="X45" s="1816"/>
      <c r="Y45" s="3205"/>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4"/>
      <c r="Q46" s="1813">
        <f t="shared" si="11"/>
        <v>111</v>
      </c>
      <c r="R46" s="774" t="s">
        <v>17</v>
      </c>
      <c r="S46" s="775">
        <f t="shared" si="12"/>
        <v>100</v>
      </c>
      <c r="T46" s="774" t="s">
        <v>17</v>
      </c>
      <c r="U46" s="775">
        <f t="shared" si="13"/>
        <v>100</v>
      </c>
      <c r="V46" s="774" t="s">
        <v>17</v>
      </c>
      <c r="W46" s="775">
        <f t="shared" si="14"/>
        <v>100</v>
      </c>
      <c r="X46" s="1816"/>
      <c r="Y46" s="3206"/>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193" t="str">
        <f>A47</f>
        <v>成交单价（元/平方米）</v>
      </c>
      <c r="Q47" s="3193"/>
      <c r="R47" s="3207">
        <f>E47</f>
        <v>26000</v>
      </c>
      <c r="S47" s="3207"/>
      <c r="T47" s="3207">
        <f>G47</f>
        <v>27000</v>
      </c>
      <c r="U47" s="3207"/>
      <c r="V47" s="3207">
        <f>I47</f>
        <v>26000</v>
      </c>
      <c r="W47" s="3207"/>
      <c r="X47" s="759"/>
      <c r="Y47" s="781"/>
      <c r="Z47" s="759"/>
      <c r="AA47" s="759"/>
      <c r="AB47" s="759"/>
      <c r="AC47" s="759"/>
    </row>
    <row r="48" spans="1:29" ht="15.75" thickBot="1">
      <c r="A48" s="486" t="s">
        <v>2667</v>
      </c>
      <c r="B48" s="487"/>
      <c r="C48" s="1416">
        <f>R49</f>
        <v>26524</v>
      </c>
      <c r="D48" s="1417"/>
      <c r="E48" s="1418">
        <f>R48</f>
        <v>26531</v>
      </c>
      <c r="F48" s="1418"/>
      <c r="G48" s="1416">
        <f>T48</f>
        <v>27551</v>
      </c>
      <c r="H48" s="1417"/>
      <c r="I48" s="1418">
        <f>V48</f>
        <v>25490</v>
      </c>
      <c r="J48" s="1417"/>
      <c r="K48" s="784"/>
      <c r="L48" s="1146"/>
      <c r="M48" s="1147"/>
      <c r="N48" s="1134"/>
      <c r="O48" s="1147"/>
      <c r="P48" s="3193" t="str">
        <f>A48</f>
        <v>比较价值（元/平方米）</v>
      </c>
      <c r="Q48" s="3193"/>
      <c r="R48" s="3194">
        <f>IF(F1="售价",ROUND(PRODUCT(R47,AA7:AA46),0),ROUND(PRODUCT(R47,AA7:AA46),1))</f>
        <v>26531</v>
      </c>
      <c r="S48" s="3194"/>
      <c r="T48" s="3194">
        <f>IF(F1="售价",ROUND(PRODUCT(T47,AB7:AB46),0),ROUND(PRODUCT(T47,AB7:AB46),1))</f>
        <v>27551</v>
      </c>
      <c r="U48" s="3194"/>
      <c r="V48" s="3194">
        <f>IF(F1="售价",ROUND(PRODUCT(V47,AC7:AC46),0),ROUND(PRODUCT(V47,AC7:AC46),1))</f>
        <v>25490</v>
      </c>
      <c r="W48" s="3194"/>
      <c r="X48" s="759"/>
      <c r="Y48" s="759"/>
      <c r="Z48" s="759"/>
      <c r="AA48" s="759"/>
      <c r="AB48" s="759"/>
      <c r="AC48" s="759"/>
    </row>
    <row r="49" spans="1:29" ht="15.75" thickBot="1">
      <c r="A49" s="492" t="s">
        <v>2668</v>
      </c>
      <c r="B49" s="493"/>
      <c r="C49" s="1420">
        <f>R49</f>
        <v>26524</v>
      </c>
      <c r="D49" s="1420"/>
      <c r="E49" s="1420"/>
      <c r="F49" s="1420"/>
      <c r="G49" s="1420"/>
      <c r="H49" s="1420"/>
      <c r="I49" s="1420"/>
      <c r="J49" s="1420"/>
      <c r="K49" s="785"/>
      <c r="L49" s="1146"/>
      <c r="M49" s="1147"/>
      <c r="N49" s="1134"/>
      <c r="O49" s="1147"/>
      <c r="P49" s="3195" t="str">
        <f>A49</f>
        <v>估价对象XX用房的比较价值（楼面单价，元/平方米）</v>
      </c>
      <c r="Q49" s="3196"/>
      <c r="R49" s="3197">
        <f>IF(F1="售价",ROUND(AVERAGE(R48:V48),0),ROUND(AVERAGE(R48:V48),1))</f>
        <v>26524</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2.0423076923076877E-2</v>
      </c>
      <c r="F52" s="500" t="str">
        <f>IF(OR(E52&gt;=0.3,E52&lt;=-0.3),"超过30%","")</f>
        <v/>
      </c>
      <c r="G52" s="499">
        <f>IF(G47&lt;G48,G48/G47-1,G47/G48-1)</f>
        <v>2.040740740740743E-2</v>
      </c>
      <c r="H52" s="500" t="str">
        <f>IF(OR(G52&gt;=0.3,G52&lt;=-0.3),"超过30%","")</f>
        <v/>
      </c>
      <c r="I52" s="499">
        <f>IF(I47&lt;I48,I48/I47-1,I47/I48-1)</f>
        <v>2.0007846214201708E-2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3.8445591949040736E-2</v>
      </c>
      <c r="F53" s="500" t="str">
        <f>IF(OR(E53&gt;=0.2,E53&lt;=-0.2),"超过20%","")</f>
        <v/>
      </c>
      <c r="G53" s="499">
        <f>IF(G48&lt;I48,I48/G48-1,G48/I48-1)</f>
        <v>8.0855237347979614E-2</v>
      </c>
      <c r="H53" s="500" t="str">
        <f>IF(OR(G53&gt;=0.2,G53&lt;=-0.2),"超过20%","")</f>
        <v/>
      </c>
      <c r="I53" s="499">
        <f>IF(I48&lt;E48,E48/I48-1,I48/E48-1)</f>
        <v>4.0839544919576198E-2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0(含)-10000</v>
      </c>
      <c r="D102" s="578" t="str">
        <f t="shared" ref="D102:L102" si="23">D103&amp;"(含)"&amp;"-"&amp;E103</f>
        <v>10000(含)-20000</v>
      </c>
      <c r="E102" s="578" t="str">
        <f t="shared" si="23"/>
        <v>20000(含)-30000</v>
      </c>
      <c r="F102" s="578" t="str">
        <f t="shared" si="23"/>
        <v>30000(含)-40000</v>
      </c>
      <c r="G102" s="578" t="str">
        <f t="shared" si="23"/>
        <v>40000(含)-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v>0</v>
      </c>
      <c r="D103" s="595">
        <v>10000</v>
      </c>
      <c r="E103" s="595">
        <v>20000</v>
      </c>
      <c r="F103" s="595">
        <v>30000</v>
      </c>
      <c r="G103" s="595">
        <v>40000</v>
      </c>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25" sqref="G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548</v>
      </c>
      <c r="C2" s="1848" t="s">
        <v>1591</v>
      </c>
      <c r="D2" s="1941">
        <f ca="1">C40+J29+L46</f>
        <v>5483677</v>
      </c>
      <c r="E2" s="1849" t="s">
        <v>1592</v>
      </c>
      <c r="F2" s="1850"/>
      <c r="G2" s="1851"/>
      <c r="H2" s="1843"/>
      <c r="I2" s="1843"/>
      <c r="J2" s="1843"/>
      <c r="K2" s="1844"/>
      <c r="L2" s="1843"/>
      <c r="M2" s="1843"/>
    </row>
    <row r="3" spans="1:37" ht="18" customHeight="1" thickBot="1">
      <c r="A3" s="1852" t="s">
        <v>1593</v>
      </c>
      <c r="B3" s="1853">
        <f ca="1">IF(ISERROR(D2/F43),0,ROUND(D2/F43,0))</f>
        <v>15673</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0" t="s">
        <v>1403</v>
      </c>
      <c r="C6" s="1299">
        <f ca="1">ROUND(F6*F8*F7*(1-F9),0)</f>
        <v>344797</v>
      </c>
      <c r="D6" s="164" t="s">
        <v>3027</v>
      </c>
      <c r="E6" s="347" t="s">
        <v>1405</v>
      </c>
      <c r="F6" s="348">
        <f ca="1">INDIRECT("'数据-取费表'!u"&amp;$G$1)</f>
        <v>3</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349.87</v>
      </c>
      <c r="G7" s="1854"/>
      <c r="H7" s="349"/>
      <c r="I7" s="3191"/>
      <c r="J7" s="351"/>
      <c r="K7" s="352"/>
      <c r="L7" s="347" t="s">
        <v>1406</v>
      </c>
      <c r="M7" s="348">
        <f ca="1">F7</f>
        <v>349.87</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1351386</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1378965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33252</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12568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11583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20684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22641</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-33252</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1378965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60596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30980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11583</v>
      </c>
      <c r="D33" s="3337"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20684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2027</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284632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5483677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15673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-6163357</v>
      </c>
      <c r="D45" s="1943" t="s">
        <v>1604</v>
      </c>
      <c r="E45" s="1869"/>
      <c r="F45" s="1869"/>
      <c r="O45" s="1872" t="s">
        <v>1519</v>
      </c>
      <c r="P45" s="1842"/>
      <c r="Q45" s="1842"/>
      <c r="R45" s="1842"/>
    </row>
    <row r="46" spans="1:18" s="1845" customFormat="1" ht="13.5" thickBot="1">
      <c r="A46" s="1873" t="s">
        <v>1520</v>
      </c>
      <c r="C46" s="1874">
        <f ca="1">ROUND(C45/10000,0)</f>
        <v>-616</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5483677</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1378965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2833343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5483677</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1351386</v>
      </c>
      <c r="D56" s="1917"/>
      <c r="E56" s="1918"/>
      <c r="F56" s="1910"/>
      <c r="I56" s="1919" t="s">
        <v>1554</v>
      </c>
      <c r="J56" s="3338" t="s">
        <v>3056</v>
      </c>
      <c r="K56" s="1890" t="s">
        <v>1555</v>
      </c>
      <c r="L56" s="1893" t="str">
        <f ca="1">IF(L48&lt;J51,"——",L48-J51)</f>
        <v>——</v>
      </c>
      <c r="O56" s="1887" t="s">
        <v>1040</v>
      </c>
      <c r="P56" s="1888" t="s">
        <v>1528</v>
      </c>
      <c r="Q56" s="1889">
        <f ca="1">C40+J29</f>
        <v>5483677</v>
      </c>
      <c r="R56" s="1889" t="s">
        <v>1529</v>
      </c>
    </row>
    <row r="57" spans="1:18" s="1845" customFormat="1" ht="24.75" thickBot="1">
      <c r="A57" s="1921"/>
      <c r="B57" s="1172" t="s">
        <v>1478</v>
      </c>
      <c r="C57" s="282">
        <f ca="1">C29</f>
        <v>1378965</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35279</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12568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11583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5483677</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20684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2027</v>
      </c>
      <c r="D65" s="1186" t="s">
        <v>1454</v>
      </c>
      <c r="E65" s="1172" t="s">
        <v>1455</v>
      </c>
      <c r="F65" s="376">
        <f t="shared" ca="1" si="0"/>
        <v>1.5E-3</v>
      </c>
      <c r="I65" s="1932" t="s">
        <v>1579</v>
      </c>
      <c r="J65" s="1933">
        <v>40</v>
      </c>
      <c r="K65" s="1933">
        <v>30</v>
      </c>
      <c r="L65" s="1933">
        <v>50</v>
      </c>
      <c r="M65" s="1935">
        <v>0.02</v>
      </c>
      <c r="O65" s="1887" t="s">
        <v>1040</v>
      </c>
      <c r="P65" s="1888" t="s">
        <v>1580</v>
      </c>
      <c r="Q65" s="1889">
        <f ca="1">C40+J29</f>
        <v>5483677</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-35279</v>
      </c>
      <c r="D67" s="1185" t="s">
        <v>1464</v>
      </c>
      <c r="E67" s="1190"/>
      <c r="F67" s="1191"/>
      <c r="O67" s="1897" t="s">
        <v>1042</v>
      </c>
      <c r="P67" s="1888" t="s">
        <v>1562</v>
      </c>
      <c r="Q67" s="1936">
        <f ca="1">L51</f>
        <v>2833343</v>
      </c>
      <c r="R67" s="1889" t="s">
        <v>1582</v>
      </c>
    </row>
    <row r="68" spans="1:18" s="1845" customFormat="1" ht="16.5" thickBot="1">
      <c r="A68" s="1169" t="s">
        <v>1032</v>
      </c>
      <c r="B68" s="1170" t="s">
        <v>1485</v>
      </c>
      <c r="C68" s="346">
        <f ca="1">ROUND(C67*(1-((1+F70)/(1+F68))^F69)/(F68-F70),0)</f>
        <v>-679680</v>
      </c>
      <c r="D68" s="1187" t="s">
        <v>1469</v>
      </c>
      <c r="E68" s="1172" t="s">
        <v>1470</v>
      </c>
      <c r="F68" s="357">
        <f ca="1">F40</f>
        <v>5.5E-2</v>
      </c>
      <c r="O68" s="1897" t="s">
        <v>1043</v>
      </c>
      <c r="P68" s="1937" t="s">
        <v>1583</v>
      </c>
      <c r="Q68" s="1889">
        <f ca="1">ROUND(Q69-Q70*Q71,0)</f>
        <v>176521</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284632</v>
      </c>
      <c r="R69" s="1889" t="s">
        <v>1529</v>
      </c>
    </row>
    <row r="70" spans="1:18" s="1845" customFormat="1" ht="13.5" thickBot="1">
      <c r="A70" s="1176"/>
      <c r="B70" s="1177"/>
      <c r="C70" s="355"/>
      <c r="D70" s="1188"/>
      <c r="E70" s="1172" t="s">
        <v>1477</v>
      </c>
      <c r="F70" s="1278">
        <f ca="1">F42</f>
        <v>0.02</v>
      </c>
      <c r="O70" s="1897" t="s">
        <v>1049</v>
      </c>
      <c r="P70" s="1937" t="s">
        <v>1585</v>
      </c>
      <c r="Q70" s="1889">
        <f ca="1">C13</f>
        <v>1351386</v>
      </c>
      <c r="R70" s="1889" t="s">
        <v>1529</v>
      </c>
    </row>
    <row r="71" spans="1:18" s="1845" customFormat="1" ht="13.5" thickBot="1">
      <c r="A71" s="1193" t="s">
        <v>1033</v>
      </c>
      <c r="B71" s="1194" t="s">
        <v>1487</v>
      </c>
      <c r="C71" s="382">
        <f ca="1">ROUND(C68/F71,0)</f>
        <v>-1943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108111</v>
      </c>
      <c r="D75" s="1845"/>
      <c r="E75" s="1845"/>
      <c r="F75" s="1845"/>
      <c r="K75" s="1871"/>
      <c r="L75" s="1845"/>
      <c r="O75" s="1887" t="s">
        <v>1046</v>
      </c>
      <c r="P75" s="1888" t="s">
        <v>1549</v>
      </c>
      <c r="Q75" s="1889">
        <f ca="1">Q65+Q66</f>
        <v>5483677</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v>
      </c>
    </row>
    <row r="80" spans="1:18">
      <c r="B80" s="386" t="s">
        <v>1511</v>
      </c>
      <c r="C80" s="318">
        <f ca="1">ROUND(C75/C39,3)</f>
        <v>0.38</v>
      </c>
    </row>
    <row r="81" spans="2:3">
      <c r="B81" s="314" t="s">
        <v>1512</v>
      </c>
      <c r="C81" s="282"/>
    </row>
    <row r="82" spans="2:3">
      <c r="B82" s="317" t="s">
        <v>1513</v>
      </c>
      <c r="C82" s="319">
        <f ca="1">1-C83</f>
        <v>0.754</v>
      </c>
    </row>
    <row r="83" spans="2:3">
      <c r="B83" s="317" t="s">
        <v>1514</v>
      </c>
      <c r="C83" s="318">
        <f ca="1">ROUND(C13/C40,3)</f>
        <v>0.246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2234</v>
      </c>
      <c r="C2" s="2569" t="s">
        <v>2517</v>
      </c>
      <c r="D2" s="2570" t="s">
        <v>2518</v>
      </c>
      <c r="E2" s="2571">
        <f>SUM(E6:E13)</f>
        <v>2644.5600000000004</v>
      </c>
    </row>
    <row r="3" spans="1:6" ht="15.75">
      <c r="A3" s="2567" t="s">
        <v>1395</v>
      </c>
      <c r="B3" s="2568">
        <f ca="1">ROUND(B2*10000/E2,0)</f>
        <v>8448</v>
      </c>
      <c r="C3" s="2569" t="s">
        <v>2525</v>
      </c>
      <c r="D3" s="2572"/>
      <c r="E3" s="2573"/>
    </row>
    <row r="4" spans="1:6" ht="15.75">
      <c r="A4" s="2574"/>
      <c r="B4" s="2572"/>
      <c r="C4" s="2572"/>
      <c r="D4" s="2572"/>
      <c r="E4" s="2573"/>
    </row>
    <row r="5" spans="1:6" ht="15">
      <c r="A5" s="2575" t="s">
        <v>2519</v>
      </c>
      <c r="B5" s="3239" t="s">
        <v>2520</v>
      </c>
      <c r="C5" s="3239"/>
      <c r="D5" s="2576"/>
      <c r="E5" s="2577" t="s">
        <v>2521</v>
      </c>
      <c r="F5" s="2578" t="s">
        <v>2522</v>
      </c>
    </row>
    <row r="6" spans="1:6">
      <c r="A6" s="2579" t="str">
        <f>'数据-取费表'!AN6</f>
        <v>收益法 (元)</v>
      </c>
      <c r="B6" s="2578">
        <f ca="1">IF(F6="是",'数据-取费表'!AO6,0)</f>
        <v>548</v>
      </c>
      <c r="C6" s="2569" t="s">
        <v>2517</v>
      </c>
      <c r="D6" s="2572"/>
      <c r="E6" s="2580">
        <f>IF(OR(A6=0,F6="否"),0,'数据-取费表'!K6+'数据-取费表'!S6)</f>
        <v>349.87</v>
      </c>
      <c r="F6" s="2581" t="s">
        <v>2523</v>
      </c>
    </row>
    <row r="7" spans="1:6">
      <c r="A7" s="2579" t="str">
        <f>'数据-取费表'!AN7</f>
        <v>收益法 (元) 办公</v>
      </c>
      <c r="B7" s="2578">
        <f ca="1">IF(F7="是",'数据-取费表'!AO7,0)</f>
        <v>1686</v>
      </c>
      <c r="C7" s="2569" t="s">
        <v>2517</v>
      </c>
      <c r="D7" s="2572"/>
      <c r="E7" s="2580">
        <f>IF(OR(A7=0,F7="否"),0,'数据-取费表'!K7+'数据-取费表'!S7)</f>
        <v>2294.6900000000005</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304" t="s">
        <v>1079</v>
      </c>
      <c r="E2" s="1304" t="s">
        <v>1080</v>
      </c>
      <c r="F2" s="1304" t="s">
        <v>1081</v>
      </c>
      <c r="G2" s="1304" t="s">
        <v>1082</v>
      </c>
      <c r="H2" s="1304" t="s">
        <v>1083</v>
      </c>
      <c r="I2" s="1305" t="s">
        <v>1084</v>
      </c>
    </row>
    <row r="3" spans="1:9">
      <c r="A3" s="3246"/>
      <c r="B3" s="3247" t="s">
        <v>1085</v>
      </c>
      <c r="C3" s="3247"/>
      <c r="D3" s="1306"/>
      <c r="E3" s="1304"/>
      <c r="F3" s="1307"/>
      <c r="G3" s="1307"/>
      <c r="H3" s="1308"/>
      <c r="I3" s="1309">
        <f>ROUND(D3*E3*F3*G3*H3/10000,0)</f>
        <v>0</v>
      </c>
    </row>
    <row r="4" spans="1:9">
      <c r="A4" s="3246"/>
      <c r="B4" s="3247" t="s">
        <v>1086</v>
      </c>
      <c r="C4" s="3247"/>
      <c r="D4" s="1306"/>
      <c r="E4" s="1304"/>
      <c r="F4" s="1307"/>
      <c r="G4" s="1307"/>
      <c r="H4" s="1308"/>
      <c r="I4" s="1309">
        <f t="shared" ref="I4:I9" si="0">ROUND(D4*E4*F4*G4*H4/10000,0)</f>
        <v>0</v>
      </c>
    </row>
    <row r="5" spans="1:9">
      <c r="A5" s="3246"/>
      <c r="B5" s="3247" t="s">
        <v>1087</v>
      </c>
      <c r="C5" s="3247"/>
      <c r="D5" s="1306"/>
      <c r="E5" s="1304"/>
      <c r="F5" s="1307"/>
      <c r="G5" s="1307"/>
      <c r="H5" s="1308"/>
      <c r="I5" s="1309">
        <f t="shared" si="0"/>
        <v>0</v>
      </c>
    </row>
    <row r="6" spans="1:9">
      <c r="A6" s="3246"/>
      <c r="B6" s="3247" t="s">
        <v>1088</v>
      </c>
      <c r="C6" s="3247"/>
      <c r="D6" s="1306"/>
      <c r="E6" s="1304"/>
      <c r="F6" s="1307"/>
      <c r="G6" s="1307"/>
      <c r="H6" s="1308"/>
      <c r="I6" s="1309">
        <f t="shared" si="0"/>
        <v>0</v>
      </c>
    </row>
    <row r="7" spans="1:9">
      <c r="A7" s="3246"/>
      <c r="B7" s="3247" t="s">
        <v>1089</v>
      </c>
      <c r="C7" s="3247"/>
      <c r="D7" s="1306"/>
      <c r="E7" s="1304"/>
      <c r="F7" s="1307"/>
      <c r="G7" s="1307"/>
      <c r="H7" s="1308"/>
      <c r="I7" s="1309">
        <f t="shared" si="0"/>
        <v>0</v>
      </c>
    </row>
    <row r="8" spans="1:9">
      <c r="A8" s="3246"/>
      <c r="B8" s="3247" t="s">
        <v>1090</v>
      </c>
      <c r="C8" s="3247"/>
      <c r="D8" s="1306"/>
      <c r="E8" s="1304"/>
      <c r="F8" s="1307"/>
      <c r="G8" s="1307"/>
      <c r="H8" s="1308"/>
      <c r="I8" s="1309">
        <f t="shared" si="0"/>
        <v>0</v>
      </c>
    </row>
    <row r="9" spans="1:9">
      <c r="A9" s="3246"/>
      <c r="B9" s="3247" t="s">
        <v>1091</v>
      </c>
      <c r="C9" s="3247"/>
      <c r="D9" s="1306"/>
      <c r="E9" s="1304"/>
      <c r="F9" s="1307"/>
      <c r="G9" s="1307"/>
      <c r="H9" s="1308"/>
      <c r="I9" s="1309">
        <f t="shared" si="0"/>
        <v>0</v>
      </c>
    </row>
    <row r="10" spans="1:9">
      <c r="A10" s="3246"/>
      <c r="B10" s="3248" t="s">
        <v>1092</v>
      </c>
      <c r="C10" s="3248"/>
      <c r="D10" s="1310"/>
      <c r="E10" s="1310" t="e">
        <f>ROUND(D1*10000/D10/H9,0)</f>
        <v>#DIV/0!</v>
      </c>
      <c r="F10" s="1311"/>
      <c r="G10" s="1311"/>
      <c r="H10" s="1312"/>
      <c r="I10" s="1313">
        <f>SUM(I3:I9)</f>
        <v>0</v>
      </c>
    </row>
    <row r="11" spans="1:9" ht="14.25">
      <c r="A11" s="3246" t="s">
        <v>1093</v>
      </c>
      <c r="B11" s="3247" t="s">
        <v>1094</v>
      </c>
      <c r="C11" s="3247"/>
      <c r="D11" s="1306" t="s">
        <v>1095</v>
      </c>
      <c r="E11" s="1306" t="s">
        <v>1096</v>
      </c>
      <c r="F11" s="1307" t="s">
        <v>1097</v>
      </c>
      <c r="G11" s="1307" t="s">
        <v>1083</v>
      </c>
      <c r="H11" s="1314" t="s">
        <v>1098</v>
      </c>
      <c r="I11" s="1305" t="s">
        <v>1084</v>
      </c>
    </row>
    <row r="12" spans="1:9">
      <c r="A12" s="3246"/>
      <c r="B12" s="3247" t="s">
        <v>1099</v>
      </c>
      <c r="C12" s="3247"/>
      <c r="D12" s="1306"/>
      <c r="E12" s="1306"/>
      <c r="F12" s="1307"/>
      <c r="G12" s="1308"/>
      <c r="H12" s="1315"/>
      <c r="I12" s="1305">
        <f>ROUND(D12*E12*F12*G12/10000,0)</f>
        <v>0</v>
      </c>
    </row>
    <row r="13" spans="1:9">
      <c r="A13" s="3246"/>
      <c r="B13" s="3247" t="s">
        <v>1100</v>
      </c>
      <c r="C13" s="3247"/>
      <c r="D13" s="1306"/>
      <c r="E13" s="1306"/>
      <c r="F13" s="1307"/>
      <c r="G13" s="1308"/>
      <c r="H13" s="1315"/>
      <c r="I13" s="1305">
        <f>ROUND(D13*E13*F13*G13/10000,0)</f>
        <v>0</v>
      </c>
    </row>
    <row r="14" spans="1:9">
      <c r="A14" s="3246"/>
      <c r="B14" s="3247" t="s">
        <v>1101</v>
      </c>
      <c r="C14" s="3247"/>
      <c r="D14" s="1306"/>
      <c r="E14" s="1306"/>
      <c r="F14" s="1307"/>
      <c r="G14" s="1308"/>
      <c r="H14" s="1315"/>
      <c r="I14" s="1305">
        <f>ROUND(D14*E14*F14*G14/10000,0)</f>
        <v>0</v>
      </c>
    </row>
    <row r="15" spans="1:9">
      <c r="A15" s="3246"/>
      <c r="B15" s="3248" t="s">
        <v>1092</v>
      </c>
      <c r="C15" s="3248"/>
      <c r="D15" s="1310"/>
      <c r="E15" s="1310">
        <f>SUM(E12:E14)</f>
        <v>0</v>
      </c>
      <c r="F15" s="1311"/>
      <c r="G15" s="1308"/>
      <c r="H15" s="1315"/>
      <c r="I15" s="1316">
        <f>SUM(I12:I14)</f>
        <v>0</v>
      </c>
    </row>
    <row r="16" spans="1:9" ht="24">
      <c r="A16" s="3246" t="s">
        <v>1102</v>
      </c>
      <c r="B16" s="3247" t="s">
        <v>1103</v>
      </c>
      <c r="C16" s="3247"/>
      <c r="D16" s="1306" t="s">
        <v>1079</v>
      </c>
      <c r="E16" s="1317" t="s">
        <v>1104</v>
      </c>
      <c r="F16" s="1307" t="s">
        <v>1105</v>
      </c>
      <c r="G16" s="1308" t="s">
        <v>1083</v>
      </c>
      <c r="H16" s="1314" t="s">
        <v>1098</v>
      </c>
      <c r="I16" s="1305" t="s">
        <v>1084</v>
      </c>
    </row>
    <row r="17" spans="1:9" ht="14.25">
      <c r="A17" s="3246"/>
      <c r="B17" s="3247" t="s">
        <v>1106</v>
      </c>
      <c r="C17" s="3247"/>
      <c r="D17" s="1306"/>
      <c r="E17" s="1306"/>
      <c r="F17" s="1307"/>
      <c r="G17" s="1308"/>
      <c r="H17" s="1318"/>
      <c r="I17" s="1319">
        <f>ROUND(D17*E17*F17*G17/10000,0)</f>
        <v>0</v>
      </c>
    </row>
    <row r="18" spans="1:9" ht="14.25">
      <c r="A18" s="3246"/>
      <c r="B18" s="3247" t="s">
        <v>1107</v>
      </c>
      <c r="C18" s="3247"/>
      <c r="D18" s="1306"/>
      <c r="E18" s="1306"/>
      <c r="F18" s="1307"/>
      <c r="G18" s="1308"/>
      <c r="H18" s="1318"/>
      <c r="I18" s="1319">
        <f>ROUND(D18*E18*F18*G18/10000,0)</f>
        <v>0</v>
      </c>
    </row>
    <row r="19" spans="1:9" ht="14.25">
      <c r="A19" s="3246"/>
      <c r="B19" s="3247" t="s">
        <v>1108</v>
      </c>
      <c r="C19" s="3247"/>
      <c r="D19" s="1306"/>
      <c r="E19" s="1306"/>
      <c r="F19" s="1307"/>
      <c r="G19" s="1308"/>
      <c r="H19" s="1318"/>
      <c r="I19" s="1319">
        <f>ROUND(D19*E19*F19*G19/10000,0)</f>
        <v>0</v>
      </c>
    </row>
    <row r="20" spans="1:9">
      <c r="A20" s="3246"/>
      <c r="B20" s="3248" t="s">
        <v>1092</v>
      </c>
      <c r="C20" s="3248"/>
      <c r="D20" s="1310">
        <f>SUM(D17:D19)</f>
        <v>0</v>
      </c>
      <c r="E20" s="1310"/>
      <c r="F20" s="1311"/>
      <c r="G20" s="1308"/>
      <c r="H20" s="1315"/>
      <c r="I20" s="1316">
        <f>SUM(I17:I19)</f>
        <v>0</v>
      </c>
    </row>
    <row r="21" spans="1:9">
      <c r="A21" s="3246" t="s">
        <v>1109</v>
      </c>
      <c r="B21" s="3249"/>
      <c r="C21" s="3249"/>
      <c r="D21" s="3249"/>
      <c r="E21" s="3249"/>
      <c r="F21" s="3249"/>
      <c r="G21" s="3249"/>
      <c r="H21" s="1768">
        <v>0.1</v>
      </c>
      <c r="I21" s="1313">
        <f>ROUND(I10*H21,0)</f>
        <v>0</v>
      </c>
    </row>
    <row r="22" spans="1:9" ht="14.25">
      <c r="A22" s="3250" t="s">
        <v>1110</v>
      </c>
      <c r="B22" s="3251"/>
      <c r="C22" s="3252"/>
      <c r="D22" s="1320" t="s">
        <v>1111</v>
      </c>
      <c r="E22" s="1320" t="s">
        <v>1112</v>
      </c>
      <c r="F22" s="1321" t="s">
        <v>1113</v>
      </c>
      <c r="G22" s="1321" t="s">
        <v>1114</v>
      </c>
      <c r="H22" s="1314" t="s">
        <v>1115</v>
      </c>
      <c r="I22" s="1305" t="s">
        <v>1116</v>
      </c>
    </row>
    <row r="23" spans="1:9" ht="14.25" thickBot="1">
      <c r="A23" s="3253"/>
      <c r="B23" s="3254"/>
      <c r="C23" s="3255"/>
      <c r="D23" s="1322"/>
      <c r="E23" s="1322"/>
      <c r="F23" s="1322"/>
      <c r="G23" s="1323"/>
      <c r="H23" s="1324"/>
      <c r="I23" s="1325">
        <f>ROUND(E23*D23*F23*(1-G23)/10000,0)</f>
        <v>0</v>
      </c>
    </row>
    <row r="26" spans="1:9">
      <c r="A26" s="1326" t="s">
        <v>1117</v>
      </c>
      <c r="B26" s="1326"/>
      <c r="C26" s="1326"/>
      <c r="D26" s="1326"/>
      <c r="E26" s="3243">
        <f>C27-C30-C31-C32</f>
        <v>0</v>
      </c>
      <c r="F26" s="3243"/>
      <c r="G26" s="3243"/>
      <c r="H26" s="1740" t="s">
        <v>1340</v>
      </c>
    </row>
    <row r="27" spans="1:9">
      <c r="A27" s="1327">
        <v>1</v>
      </c>
      <c r="B27" s="1328" t="s">
        <v>1118</v>
      </c>
      <c r="C27" s="1328">
        <f>C28+C29</f>
        <v>0</v>
      </c>
      <c r="D27" s="1328"/>
      <c r="E27" s="3244"/>
      <c r="F27" s="3244"/>
      <c r="G27" s="3244"/>
    </row>
    <row r="28" spans="1:9">
      <c r="A28" s="1329" t="s">
        <v>1119</v>
      </c>
      <c r="B28" s="1328" t="s">
        <v>1120</v>
      </c>
      <c r="C28" s="1328"/>
      <c r="D28" s="1328"/>
      <c r="E28" s="3244"/>
      <c r="F28" s="3244"/>
      <c r="G28" s="324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5"/>
      <c r="F32" s="3245"/>
      <c r="G32" s="3245"/>
    </row>
    <row r="33" spans="1:7" hidden="1">
      <c r="A33" s="3240" t="s">
        <v>1129</v>
      </c>
      <c r="B33" s="3241"/>
      <c r="C33" s="3241"/>
      <c r="D33" s="3242"/>
      <c r="E33" s="3243"/>
      <c r="F33" s="3243"/>
      <c r="G33" s="3243"/>
    </row>
    <row r="34" spans="1:7" hidden="1">
      <c r="A34" s="1331">
        <v>1</v>
      </c>
      <c r="B34" s="1328" t="s">
        <v>1130</v>
      </c>
      <c r="C34" s="1328"/>
      <c r="D34" s="1328"/>
      <c r="E34" s="3244"/>
      <c r="F34" s="3244"/>
      <c r="G34" s="3244"/>
    </row>
    <row r="35" spans="1:7" hidden="1">
      <c r="A35" s="1331">
        <v>2</v>
      </c>
      <c r="B35" s="1328" t="s">
        <v>1131</v>
      </c>
      <c r="C35" s="1328"/>
      <c r="D35" s="1328"/>
      <c r="E35" s="3244"/>
      <c r="F35" s="3244"/>
      <c r="G35" s="3244"/>
    </row>
    <row r="36" spans="1:7" hidden="1">
      <c r="A36" s="1331">
        <v>3</v>
      </c>
      <c r="B36" s="1328" t="s">
        <v>1132</v>
      </c>
      <c r="C36" s="1328"/>
      <c r="D36" s="1328"/>
      <c r="E36" s="3244"/>
      <c r="F36" s="3244"/>
      <c r="G36" s="3244"/>
    </row>
    <row r="37" spans="1:7" hidden="1">
      <c r="A37" s="1331">
        <v>4</v>
      </c>
      <c r="B37" s="1328" t="s">
        <v>1133</v>
      </c>
      <c r="C37" s="1328"/>
      <c r="D37" s="1328"/>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2644.5600000000004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2" t="s">
        <v>2534</v>
      </c>
      <c r="D4" s="3213"/>
      <c r="E4" s="3214" t="s">
        <v>2535</v>
      </c>
      <c r="F4" s="3215"/>
      <c r="G4" s="3212" t="s">
        <v>2536</v>
      </c>
      <c r="H4" s="3213"/>
      <c r="I4" s="3212" t="s">
        <v>2537</v>
      </c>
      <c r="J4" s="3213"/>
      <c r="K4" s="2599" t="s">
        <v>2538</v>
      </c>
      <c r="L4" s="1133"/>
      <c r="M4" s="1134"/>
      <c r="N4" s="1134"/>
      <c r="O4" s="1134"/>
      <c r="P4" s="3216" t="s">
        <v>2539</v>
      </c>
      <c r="Q4" s="3217"/>
      <c r="R4" s="3222" t="s">
        <v>2535</v>
      </c>
      <c r="S4" s="3223"/>
      <c r="T4" s="3222" t="s">
        <v>2536</v>
      </c>
      <c r="U4" s="3223"/>
      <c r="V4" s="3207" t="s">
        <v>2537</v>
      </c>
      <c r="W4" s="3207"/>
      <c r="X4" s="1816"/>
      <c r="Y4" s="3222" t="s">
        <v>2539</v>
      </c>
      <c r="Z4" s="3223"/>
      <c r="AA4" s="3209" t="s">
        <v>2535</v>
      </c>
      <c r="AB4" s="3209" t="s">
        <v>2536</v>
      </c>
      <c r="AC4" s="3209" t="s">
        <v>2537</v>
      </c>
    </row>
    <row r="5" spans="1:29" ht="15">
      <c r="A5" s="404"/>
      <c r="B5" s="405"/>
      <c r="C5" s="3261" t="s">
        <v>2540</v>
      </c>
      <c r="D5" s="3231"/>
      <c r="E5" s="3262" t="s">
        <v>2541</v>
      </c>
      <c r="F5" s="3238"/>
      <c r="G5" s="3261" t="s">
        <v>2542</v>
      </c>
      <c r="H5" s="3231"/>
      <c r="I5" s="3261" t="s">
        <v>2543</v>
      </c>
      <c r="J5" s="3231"/>
      <c r="K5" s="2600"/>
      <c r="L5" s="1133"/>
      <c r="M5" s="1134"/>
      <c r="N5" s="1134"/>
      <c r="O5" s="1134"/>
      <c r="P5" s="3218"/>
      <c r="Q5" s="3219"/>
      <c r="R5" s="3224"/>
      <c r="S5" s="3225"/>
      <c r="T5" s="3224"/>
      <c r="U5" s="3225"/>
      <c r="V5" s="3207"/>
      <c r="W5" s="3207"/>
      <c r="X5" s="1816"/>
      <c r="Y5" s="3224"/>
      <c r="Z5" s="3225"/>
      <c r="AA5" s="3210"/>
      <c r="AB5" s="3210"/>
      <c r="AC5" s="3210"/>
    </row>
    <row r="6" spans="1:29" ht="15.75" thickBot="1">
      <c r="A6" s="406"/>
      <c r="B6" s="407"/>
      <c r="C6" s="3228" t="s">
        <v>2544</v>
      </c>
      <c r="D6" s="3229"/>
      <c r="E6" s="3235" t="s">
        <v>2544</v>
      </c>
      <c r="F6" s="3236"/>
      <c r="G6" s="3228" t="s">
        <v>2544</v>
      </c>
      <c r="H6" s="3229"/>
      <c r="I6" s="3228" t="s">
        <v>2544</v>
      </c>
      <c r="J6" s="3229"/>
      <c r="K6" s="2600" t="s">
        <v>2545</v>
      </c>
      <c r="L6" s="1133"/>
      <c r="M6" s="1134"/>
      <c r="N6" s="1134"/>
      <c r="O6" s="1134"/>
      <c r="P6" s="3220"/>
      <c r="Q6" s="3221"/>
      <c r="R6" s="3224"/>
      <c r="S6" s="3225"/>
      <c r="T6" s="3226"/>
      <c r="U6" s="3227"/>
      <c r="V6" s="3207"/>
      <c r="W6" s="3207"/>
      <c r="X6" s="1816"/>
      <c r="Y6" s="3226"/>
      <c r="Z6" s="3227"/>
      <c r="AA6" s="3211"/>
      <c r="AB6" s="3211"/>
      <c r="AC6" s="3211"/>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2" t="s">
        <v>2547</v>
      </c>
      <c r="Q7" s="3234"/>
      <c r="R7" s="770" t="s">
        <v>23</v>
      </c>
      <c r="S7" s="771">
        <f t="shared" ref="S7:S15" si="0">F7</f>
        <v>0</v>
      </c>
      <c r="T7" s="770" t="s">
        <v>23</v>
      </c>
      <c r="U7" s="771">
        <f t="shared" ref="U7:U15" si="1">H7</f>
        <v>0</v>
      </c>
      <c r="V7" s="770" t="s">
        <v>23</v>
      </c>
      <c r="W7" s="771">
        <f t="shared" ref="W7:W15" si="2">J7</f>
        <v>0</v>
      </c>
      <c r="X7" s="772"/>
      <c r="Y7" s="3232" t="s">
        <v>2547</v>
      </c>
      <c r="Z7" s="3233"/>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2" t="s">
        <v>2550</v>
      </c>
      <c r="Q8" s="3233"/>
      <c r="R8" s="770" t="s">
        <v>23</v>
      </c>
      <c r="S8" s="771">
        <f t="shared" si="0"/>
        <v>0</v>
      </c>
      <c r="T8" s="770" t="s">
        <v>23</v>
      </c>
      <c r="U8" s="771">
        <f t="shared" si="1"/>
        <v>0</v>
      </c>
      <c r="V8" s="770" t="s">
        <v>23</v>
      </c>
      <c r="W8" s="771">
        <f t="shared" si="2"/>
        <v>0</v>
      </c>
      <c r="X8" s="772"/>
      <c r="Y8" s="3232" t="s">
        <v>2550</v>
      </c>
      <c r="Z8" s="323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2558</v>
      </c>
      <c r="Q15" s="1813" t="str">
        <f t="shared" si="6"/>
        <v>居住社区成熟度</v>
      </c>
      <c r="R15" s="774" t="s">
        <v>21</v>
      </c>
      <c r="S15" s="775">
        <f t="shared" si="0"/>
        <v>100</v>
      </c>
      <c r="T15" s="774" t="s">
        <v>21</v>
      </c>
      <c r="U15" s="775">
        <f t="shared" si="1"/>
        <v>100</v>
      </c>
      <c r="V15" s="774" t="s">
        <v>21</v>
      </c>
      <c r="W15" s="775">
        <f t="shared" si="2"/>
        <v>100</v>
      </c>
      <c r="X15" s="1816"/>
      <c r="Y15" s="3200"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199"/>
      <c r="Q16" s="1813"/>
      <c r="R16" s="774"/>
      <c r="S16" s="775"/>
      <c r="T16" s="774"/>
      <c r="U16" s="775"/>
      <c r="V16" s="774"/>
      <c r="W16" s="775"/>
      <c r="X16" s="1816"/>
      <c r="Y16" s="3201"/>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201"/>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199"/>
      <c r="Q18" s="1813"/>
      <c r="R18" s="774"/>
      <c r="S18" s="775"/>
      <c r="T18" s="774"/>
      <c r="U18" s="775"/>
      <c r="V18" s="774"/>
      <c r="W18" s="775"/>
      <c r="X18" s="1816"/>
      <c r="Y18" s="3201"/>
      <c r="Z18" s="1817"/>
      <c r="AA18" s="1814">
        <v>1</v>
      </c>
      <c r="AB18" s="1814">
        <v>1</v>
      </c>
      <c r="AC18" s="1814">
        <v>1</v>
      </c>
    </row>
    <row r="19" spans="1:29" ht="42.75">
      <c r="A19" s="428"/>
      <c r="B19" s="451" t="s">
        <v>2093</v>
      </c>
      <c r="C19" s="2610"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199"/>
      <c r="Q20" s="1813"/>
      <c r="R20" s="774"/>
      <c r="S20" s="775"/>
      <c r="T20" s="774"/>
      <c r="U20" s="775"/>
      <c r="V20" s="774"/>
      <c r="W20" s="775"/>
      <c r="X20" s="1816"/>
      <c r="Y20" s="3201"/>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199"/>
      <c r="Q22" s="1813"/>
      <c r="R22" s="774"/>
      <c r="S22" s="775"/>
      <c r="T22" s="774"/>
      <c r="U22" s="775"/>
      <c r="V22" s="774"/>
      <c r="W22" s="775"/>
      <c r="X22" s="1816"/>
      <c r="Y22" s="3201"/>
      <c r="Z22" s="1817"/>
      <c r="AA22" s="1814">
        <v>1</v>
      </c>
      <c r="AB22" s="1814">
        <v>1</v>
      </c>
      <c r="AC22" s="1814">
        <v>1</v>
      </c>
    </row>
    <row r="23" spans="1:29" ht="57">
      <c r="A23" s="428"/>
      <c r="B23" s="451" t="s">
        <v>2100</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201"/>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199"/>
      <c r="Q24" s="1813"/>
      <c r="R24" s="774"/>
      <c r="S24" s="775"/>
      <c r="T24" s="774"/>
      <c r="U24" s="775"/>
      <c r="V24" s="774"/>
      <c r="W24" s="775"/>
      <c r="X24" s="1816"/>
      <c r="Y24" s="3201"/>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1"/>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20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20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20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20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20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201"/>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2" t="s">
        <v>2563</v>
      </c>
      <c r="Q32" s="1813" t="str">
        <f t="shared" si="11"/>
        <v>建筑类型</v>
      </c>
      <c r="R32" s="774" t="s">
        <v>21</v>
      </c>
      <c r="S32" s="775">
        <f t="shared" si="12"/>
        <v>100</v>
      </c>
      <c r="T32" s="774" t="s">
        <v>21</v>
      </c>
      <c r="U32" s="775">
        <f t="shared" si="13"/>
        <v>100</v>
      </c>
      <c r="V32" s="774" t="s">
        <v>21</v>
      </c>
      <c r="W32" s="775">
        <f t="shared" si="14"/>
        <v>100</v>
      </c>
      <c r="X32" s="1816"/>
      <c r="Y32" s="3205"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3"/>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3"/>
      <c r="Q34" s="1813" t="str">
        <f t="shared" si="11"/>
        <v>建筑结构</v>
      </c>
      <c r="R34" s="774" t="s">
        <v>21</v>
      </c>
      <c r="S34" s="775">
        <f t="shared" si="12"/>
        <v>100</v>
      </c>
      <c r="T34" s="774" t="s">
        <v>21</v>
      </c>
      <c r="U34" s="775">
        <f t="shared" si="13"/>
        <v>100</v>
      </c>
      <c r="V34" s="774" t="s">
        <v>21</v>
      </c>
      <c r="W34" s="775">
        <f t="shared" si="14"/>
        <v>100</v>
      </c>
      <c r="X34" s="1816"/>
      <c r="Y34" s="3205"/>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3"/>
      <c r="Q35" s="1813" t="str">
        <f t="shared" si="11"/>
        <v>建筑品质</v>
      </c>
      <c r="R35" s="774" t="s">
        <v>21</v>
      </c>
      <c r="S35" s="775">
        <f t="shared" si="12"/>
        <v>100</v>
      </c>
      <c r="T35" s="774" t="s">
        <v>21</v>
      </c>
      <c r="U35" s="775">
        <f t="shared" si="13"/>
        <v>100</v>
      </c>
      <c r="V35" s="774" t="s">
        <v>21</v>
      </c>
      <c r="W35" s="775">
        <f t="shared" si="14"/>
        <v>100</v>
      </c>
      <c r="X35" s="1816"/>
      <c r="Y35" s="3205"/>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3"/>
      <c r="Q36" s="1813" t="str">
        <f t="shared" si="11"/>
        <v>公共部分装修</v>
      </c>
      <c r="R36" s="774" t="s">
        <v>21</v>
      </c>
      <c r="S36" s="775">
        <f t="shared" si="12"/>
        <v>100</v>
      </c>
      <c r="T36" s="774" t="s">
        <v>21</v>
      </c>
      <c r="U36" s="775">
        <f t="shared" si="13"/>
        <v>100</v>
      </c>
      <c r="V36" s="774" t="s">
        <v>21</v>
      </c>
      <c r="W36" s="775">
        <f t="shared" si="14"/>
        <v>100</v>
      </c>
      <c r="X36" s="1816"/>
      <c r="Y36" s="3205"/>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3"/>
      <c r="Q37" s="1798"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3" t="s">
        <v>2563</v>
      </c>
      <c r="Q38" s="1813" t="str">
        <f t="shared" si="11"/>
        <v>物业管理</v>
      </c>
      <c r="R38" s="774" t="s">
        <v>21</v>
      </c>
      <c r="S38" s="775">
        <f t="shared" si="12"/>
        <v>100</v>
      </c>
      <c r="T38" s="774" t="s">
        <v>21</v>
      </c>
      <c r="U38" s="775">
        <f t="shared" si="13"/>
        <v>100</v>
      </c>
      <c r="V38" s="774" t="s">
        <v>21</v>
      </c>
      <c r="W38" s="775">
        <f t="shared" si="14"/>
        <v>100</v>
      </c>
      <c r="X38" s="1816"/>
      <c r="Y38" s="3205"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3"/>
      <c r="Q39" s="1813" t="str">
        <f t="shared" si="11"/>
        <v>市政基础设施</v>
      </c>
      <c r="R39" s="774" t="s">
        <v>21</v>
      </c>
      <c r="S39" s="775">
        <f t="shared" si="12"/>
        <v>100</v>
      </c>
      <c r="T39" s="774" t="s">
        <v>21</v>
      </c>
      <c r="U39" s="775">
        <f t="shared" si="13"/>
        <v>100</v>
      </c>
      <c r="V39" s="774" t="s">
        <v>21</v>
      </c>
      <c r="W39" s="775">
        <f t="shared" si="14"/>
        <v>100</v>
      </c>
      <c r="X39" s="1816"/>
      <c r="Y39" s="3205"/>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3"/>
      <c r="Q40" s="1813" t="str">
        <f t="shared" si="11"/>
        <v>房型</v>
      </c>
      <c r="R40" s="774" t="s">
        <v>21</v>
      </c>
      <c r="S40" s="775">
        <f t="shared" si="12"/>
        <v>100</v>
      </c>
      <c r="T40" s="774" t="s">
        <v>21</v>
      </c>
      <c r="U40" s="775">
        <f t="shared" si="13"/>
        <v>100</v>
      </c>
      <c r="V40" s="774" t="s">
        <v>21</v>
      </c>
      <c r="W40" s="775">
        <f t="shared" si="14"/>
        <v>100</v>
      </c>
      <c r="X40" s="1816"/>
      <c r="Y40" s="3205"/>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3"/>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3"/>
      <c r="Q42" s="1813" t="str">
        <f t="shared" si="11"/>
        <v>内部装修</v>
      </c>
      <c r="R42" s="774" t="s">
        <v>21</v>
      </c>
      <c r="S42" s="775">
        <f t="shared" si="12"/>
        <v>100</v>
      </c>
      <c r="T42" s="774" t="s">
        <v>21</v>
      </c>
      <c r="U42" s="775">
        <f t="shared" si="13"/>
        <v>100</v>
      </c>
      <c r="V42" s="774" t="s">
        <v>21</v>
      </c>
      <c r="W42" s="775">
        <f t="shared" si="14"/>
        <v>100</v>
      </c>
      <c r="X42" s="1816"/>
      <c r="Y42" s="3205"/>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3"/>
      <c r="Q43" s="1813" t="str">
        <f t="shared" si="11"/>
        <v>内部装修维护情况</v>
      </c>
      <c r="R43" s="774" t="s">
        <v>21</v>
      </c>
      <c r="S43" s="775">
        <f t="shared" si="12"/>
        <v>100</v>
      </c>
      <c r="T43" s="774" t="s">
        <v>21</v>
      </c>
      <c r="U43" s="775">
        <f t="shared" si="13"/>
        <v>100</v>
      </c>
      <c r="V43" s="774" t="s">
        <v>21</v>
      </c>
      <c r="W43" s="775">
        <f t="shared" si="14"/>
        <v>100</v>
      </c>
      <c r="X43" s="1816"/>
      <c r="Y43" s="320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3"/>
      <c r="Q44" s="1798">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3"/>
      <c r="Q45" s="1813">
        <f t="shared" si="11"/>
        <v>111</v>
      </c>
      <c r="R45" s="774" t="s">
        <v>21</v>
      </c>
      <c r="S45" s="775">
        <f t="shared" si="12"/>
        <v>100</v>
      </c>
      <c r="T45" s="774" t="s">
        <v>21</v>
      </c>
      <c r="U45" s="775">
        <f t="shared" si="13"/>
        <v>100</v>
      </c>
      <c r="V45" s="774" t="s">
        <v>21</v>
      </c>
      <c r="W45" s="775">
        <f t="shared" si="14"/>
        <v>100</v>
      </c>
      <c r="X45" s="1816"/>
      <c r="Y45" s="3205"/>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4"/>
      <c r="Q46" s="1813">
        <f t="shared" si="11"/>
        <v>111</v>
      </c>
      <c r="R46" s="774" t="s">
        <v>20</v>
      </c>
      <c r="S46" s="775">
        <f t="shared" si="12"/>
        <v>100</v>
      </c>
      <c r="T46" s="774" t="s">
        <v>20</v>
      </c>
      <c r="U46" s="775">
        <f t="shared" si="13"/>
        <v>100</v>
      </c>
      <c r="V46" s="774" t="s">
        <v>20</v>
      </c>
      <c r="W46" s="775">
        <f t="shared" si="14"/>
        <v>100</v>
      </c>
      <c r="X46" s="1816"/>
      <c r="Y46" s="3206"/>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193" t="str">
        <f>A47</f>
        <v>成交单价（元/平方米）</v>
      </c>
      <c r="Q47" s="3193"/>
      <c r="R47" s="3194">
        <f>E47</f>
        <v>0</v>
      </c>
      <c r="S47" s="3194"/>
      <c r="T47" s="3194">
        <f>G47</f>
        <v>0</v>
      </c>
      <c r="U47" s="3194"/>
      <c r="V47" s="3194">
        <f>I47</f>
        <v>0</v>
      </c>
      <c r="W47" s="319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F27" sqref="F2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1962</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8548</v>
      </c>
      <c r="C3" s="400" t="s">
        <v>2642</v>
      </c>
      <c r="D3" s="399">
        <f>IF(D1="",'数据-汇总表'!E3,SUMIF('数据-汇总表'!$C19:$C33,D1,'数据-汇总表'!$E19:$E33))</f>
        <v>2294.6900000000005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69" t="s">
        <v>2649</v>
      </c>
      <c r="Q4" s="3270"/>
      <c r="R4" s="3273" t="s">
        <v>2645</v>
      </c>
      <c r="S4" s="3274"/>
      <c r="T4" s="3273" t="s">
        <v>2646</v>
      </c>
      <c r="U4" s="3274"/>
      <c r="V4" s="3275" t="s">
        <v>2647</v>
      </c>
      <c r="W4" s="3275"/>
      <c r="X4" s="2673"/>
      <c r="Y4" s="3273" t="s">
        <v>2649</v>
      </c>
      <c r="Z4" s="3274"/>
      <c r="AA4" s="3277" t="s">
        <v>2645</v>
      </c>
      <c r="AB4" s="3277" t="s">
        <v>2646</v>
      </c>
      <c r="AC4" s="3266" t="s">
        <v>2647</v>
      </c>
    </row>
    <row r="5" spans="1:29" ht="15">
      <c r="A5" s="404"/>
      <c r="B5" s="405"/>
      <c r="C5" s="3261" t="s">
        <v>2540</v>
      </c>
      <c r="D5" s="3231"/>
      <c r="E5" s="3331" t="s">
        <v>2541</v>
      </c>
      <c r="F5" s="3332"/>
      <c r="G5" s="3333" t="s">
        <v>2542</v>
      </c>
      <c r="H5" s="3334"/>
      <c r="I5" s="3335" t="s">
        <v>3117</v>
      </c>
      <c r="J5" s="3334"/>
      <c r="K5" s="610"/>
      <c r="L5" s="1133"/>
      <c r="M5" s="1134"/>
      <c r="N5" s="1134"/>
      <c r="O5" s="1134"/>
      <c r="P5" s="3271"/>
      <c r="Q5" s="3219"/>
      <c r="R5" s="3224"/>
      <c r="S5" s="3225"/>
      <c r="T5" s="3224"/>
      <c r="U5" s="3225"/>
      <c r="V5" s="3207"/>
      <c r="W5" s="3207"/>
      <c r="X5" s="1816"/>
      <c r="Y5" s="3224"/>
      <c r="Z5" s="3225"/>
      <c r="AA5" s="3210"/>
      <c r="AB5" s="3210"/>
      <c r="AC5" s="3267"/>
    </row>
    <row r="6" spans="1:29" ht="15.75" thickBot="1">
      <c r="A6" s="406"/>
      <c r="B6" s="407"/>
      <c r="C6" s="3228" t="s">
        <v>2544</v>
      </c>
      <c r="D6" s="3229"/>
      <c r="E6" s="3235" t="s">
        <v>2544</v>
      </c>
      <c r="F6" s="3236"/>
      <c r="G6" s="3228" t="s">
        <v>2544</v>
      </c>
      <c r="H6" s="3229"/>
      <c r="I6" s="3228" t="s">
        <v>2544</v>
      </c>
      <c r="J6" s="3229"/>
      <c r="K6" s="610" t="s">
        <v>2545</v>
      </c>
      <c r="L6" s="1133"/>
      <c r="M6" s="1134"/>
      <c r="N6" s="1134"/>
      <c r="O6" s="1134"/>
      <c r="P6" s="3272"/>
      <c r="Q6" s="3221"/>
      <c r="R6" s="3224"/>
      <c r="S6" s="3225"/>
      <c r="T6" s="3226"/>
      <c r="U6" s="3227"/>
      <c r="V6" s="3207"/>
      <c r="W6" s="3207"/>
      <c r="X6" s="1816"/>
      <c r="Y6" s="3226"/>
      <c r="Z6" s="3227"/>
      <c r="AA6" s="3211"/>
      <c r="AB6" s="3211"/>
      <c r="AC6" s="3268"/>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6" t="s">
        <v>2547</v>
      </c>
      <c r="Q7" s="3234"/>
      <c r="R7" s="770" t="s">
        <v>17</v>
      </c>
      <c r="S7" s="771">
        <f t="shared" ref="S7:S15" si="0">F7</f>
        <v>100</v>
      </c>
      <c r="T7" s="770" t="s">
        <v>17</v>
      </c>
      <c r="U7" s="771">
        <f t="shared" ref="U7:U15" si="1">H7</f>
        <v>100</v>
      </c>
      <c r="V7" s="770" t="s">
        <v>17</v>
      </c>
      <c r="W7" s="771">
        <f t="shared" ref="W7:W15" si="2">J7</f>
        <v>100</v>
      </c>
      <c r="X7" s="772"/>
      <c r="Y7" s="3232" t="s">
        <v>2547</v>
      </c>
      <c r="Z7" s="3233"/>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6" t="s">
        <v>2550</v>
      </c>
      <c r="Q8" s="3233"/>
      <c r="R8" s="770" t="s">
        <v>17</v>
      </c>
      <c r="S8" s="771">
        <f t="shared" si="0"/>
        <v>100</v>
      </c>
      <c r="T8" s="770" t="s">
        <v>17</v>
      </c>
      <c r="U8" s="771">
        <f t="shared" si="1"/>
        <v>100</v>
      </c>
      <c r="V8" s="770" t="s">
        <v>17</v>
      </c>
      <c r="W8" s="771">
        <f t="shared" si="2"/>
        <v>100</v>
      </c>
      <c r="X8" s="772"/>
      <c r="Y8" s="3232" t="s">
        <v>2550</v>
      </c>
      <c r="Z8" s="3233"/>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08"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8"/>
      <c r="Q11" s="1798"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3120</v>
      </c>
      <c r="F15" s="441">
        <f>SUMIF(77:77,E16,78:78)-SUMIF(77:77,C16,78:78)+100</f>
        <v>100</v>
      </c>
      <c r="G15" s="2986" t="s">
        <v>3120</v>
      </c>
      <c r="H15" s="441">
        <f>SUMIF(77:77,G16,78:78)-SUMIF(77:77,C16,78:78)+100</f>
        <v>100</v>
      </c>
      <c r="I15" s="2986" t="s">
        <v>3120</v>
      </c>
      <c r="J15" s="441">
        <f>SUMIF(77:77,I16,78:78)-SUMIF(77:77,C16,78:78)+100</f>
        <v>100</v>
      </c>
      <c r="K15" s="614">
        <v>2</v>
      </c>
      <c r="L15" s="1143"/>
      <c r="M15" s="1134"/>
      <c r="N15" s="1134"/>
      <c r="O15" s="1134"/>
      <c r="P15" s="3198" t="s">
        <v>2558</v>
      </c>
      <c r="Q15" s="1813" t="str">
        <f t="shared" si="6"/>
        <v>办公集聚程度</v>
      </c>
      <c r="R15" s="774" t="s">
        <v>17</v>
      </c>
      <c r="S15" s="775">
        <f t="shared" si="0"/>
        <v>100</v>
      </c>
      <c r="T15" s="774" t="s">
        <v>17</v>
      </c>
      <c r="U15" s="775">
        <f t="shared" si="1"/>
        <v>100</v>
      </c>
      <c r="V15" s="774" t="s">
        <v>17</v>
      </c>
      <c r="W15" s="775">
        <f t="shared" si="2"/>
        <v>100</v>
      </c>
      <c r="X15" s="1816"/>
      <c r="Y15" s="3200"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199"/>
      <c r="Q16" s="1813"/>
      <c r="R16" s="774"/>
      <c r="S16" s="775"/>
      <c r="T16" s="774"/>
      <c r="U16" s="775"/>
      <c r="V16" s="774"/>
      <c r="W16" s="775"/>
      <c r="X16" s="1816"/>
      <c r="Y16" s="3201"/>
      <c r="Z16" s="1817"/>
      <c r="AA16" s="1814">
        <v>1</v>
      </c>
      <c r="AB16" s="1814">
        <v>1</v>
      </c>
      <c r="AC16" s="2677">
        <v>1</v>
      </c>
    </row>
    <row r="17" spans="1:29" ht="81">
      <c r="A17" s="428"/>
      <c r="B17" s="631" t="s">
        <v>2095</v>
      </c>
      <c r="C17" s="2678" t="str">
        <f>估价对象房地状况!C6</f>
        <v>估价对象周边道路状况、公共交通通达情况、停车便捷程度，综合评价交通便捷度较好</v>
      </c>
      <c r="D17" s="450">
        <v>100</v>
      </c>
      <c r="E17" s="2990" t="s">
        <v>3126</v>
      </c>
      <c r="F17" s="450">
        <f>SUMIF(79:79,E18,80:80)-SUMIF(79:79,C18,80:80)+100</f>
        <v>100</v>
      </c>
      <c r="G17" s="2989" t="s">
        <v>3125</v>
      </c>
      <c r="H17" s="455">
        <f>SUMIF(79:79,G18,80:80)-SUMIF(79:79,C18,80:80)+100</f>
        <v>98</v>
      </c>
      <c r="I17" s="2989" t="s">
        <v>3124</v>
      </c>
      <c r="J17" s="455">
        <f>SUMIF(79:79,I18,80:80)-SUMIF(79:79,C18,80:80)+100</f>
        <v>100</v>
      </c>
      <c r="K17" s="614">
        <v>2</v>
      </c>
      <c r="L17" s="1143"/>
      <c r="M17" s="1134"/>
      <c r="N17" s="1134"/>
      <c r="O17" s="1134"/>
      <c r="P17" s="3199"/>
      <c r="Q17" s="1813" t="str">
        <f>B17</f>
        <v>交通便捷度</v>
      </c>
      <c r="R17" s="774" t="s">
        <v>17</v>
      </c>
      <c r="S17" s="775">
        <f>F17</f>
        <v>100</v>
      </c>
      <c r="T17" s="774" t="s">
        <v>17</v>
      </c>
      <c r="U17" s="775">
        <f>H17</f>
        <v>98</v>
      </c>
      <c r="V17" s="774" t="s">
        <v>17</v>
      </c>
      <c r="W17" s="775">
        <f>J17</f>
        <v>100</v>
      </c>
      <c r="X17" s="1816"/>
      <c r="Y17" s="3201"/>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199"/>
      <c r="Q18" s="1813"/>
      <c r="R18" s="774"/>
      <c r="S18" s="775"/>
      <c r="T18" s="774"/>
      <c r="U18" s="775"/>
      <c r="V18" s="774"/>
      <c r="W18" s="775"/>
      <c r="X18" s="1816"/>
      <c r="Y18" s="3201"/>
      <c r="Z18" s="1817"/>
      <c r="AA18" s="1814">
        <v>1</v>
      </c>
      <c r="AB18" s="1814">
        <v>1</v>
      </c>
      <c r="AC18" s="2677">
        <v>1</v>
      </c>
    </row>
    <row r="19" spans="1:29" ht="42.75">
      <c r="A19" s="428"/>
      <c r="B19" s="631" t="s">
        <v>2686</v>
      </c>
      <c r="C19" s="2678" t="str">
        <f>估价对象房地状况!C7</f>
        <v>估价对象所在区域公共配套设施较齐备</v>
      </c>
      <c r="D19" s="455">
        <v>100</v>
      </c>
      <c r="E19" s="2992" t="s">
        <v>3131</v>
      </c>
      <c r="F19" s="455">
        <f>SUMIF(81:81,E20,82:82)-SUMIF(81:81,C20,82:82)+100</f>
        <v>100</v>
      </c>
      <c r="G19" s="2991" t="s">
        <v>3131</v>
      </c>
      <c r="H19" s="450">
        <f>SUMIF(81:81,G20,82:82)-SUMIF(81:81,C20,82:82)+100</f>
        <v>100</v>
      </c>
      <c r="I19" s="2991" t="s">
        <v>3131</v>
      </c>
      <c r="J19" s="450">
        <f>SUMIF(81:81,I20,82:82)-SUMIF(81:81,C20,82:82)+100</f>
        <v>100</v>
      </c>
      <c r="K19" s="614">
        <v>2</v>
      </c>
      <c r="L19" s="1143"/>
      <c r="M19" s="1134"/>
      <c r="N19" s="1134"/>
      <c r="O19" s="1134"/>
      <c r="P19" s="3199"/>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199"/>
      <c r="Q20" s="1813"/>
      <c r="R20" s="774"/>
      <c r="S20" s="775"/>
      <c r="T20" s="774"/>
      <c r="U20" s="775"/>
      <c r="V20" s="774"/>
      <c r="W20" s="775"/>
      <c r="X20" s="1816"/>
      <c r="Y20" s="3201"/>
      <c r="Z20" s="1817"/>
      <c r="AA20" s="1814">
        <v>1</v>
      </c>
      <c r="AB20" s="1814">
        <v>1</v>
      </c>
      <c r="AC20" s="2677">
        <v>1</v>
      </c>
    </row>
    <row r="21" spans="1:29" ht="28.5">
      <c r="A21" s="428"/>
      <c r="B21" s="633" t="s">
        <v>2687</v>
      </c>
      <c r="C21" s="2678" t="str">
        <f>估价对象房地状况!C8</f>
        <v>估价对象所在区域基础设施七通</v>
      </c>
      <c r="D21" s="450">
        <v>100</v>
      </c>
      <c r="E21" s="2992" t="s">
        <v>3134</v>
      </c>
      <c r="F21" s="455">
        <f>SUMIF(83:83,E22,84:84)-SUMIF(83:83,C22,84:84)+100</f>
        <v>100</v>
      </c>
      <c r="G21" s="2991" t="s">
        <v>3134</v>
      </c>
      <c r="H21" s="450">
        <f>SUMIF(83:83,G22,84:84)-SUMIF(83:83,C22,84:84)+100</f>
        <v>100</v>
      </c>
      <c r="I21" s="2991" t="s">
        <v>3135</v>
      </c>
      <c r="J21" s="450">
        <f>SUMIF(83:83,I22,84:84)-SUMIF(83:83,C22,84:84)+100</f>
        <v>100</v>
      </c>
      <c r="K21" s="614">
        <v>2</v>
      </c>
      <c r="L21" s="1143"/>
      <c r="M21" s="1134"/>
      <c r="N21" s="1134"/>
      <c r="O21" s="1134"/>
      <c r="P21" s="3199"/>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3105</v>
      </c>
      <c r="F22" s="448"/>
      <c r="G22" s="2982" t="s">
        <v>3105</v>
      </c>
      <c r="H22" s="448"/>
      <c r="I22" s="2982" t="s">
        <v>3105</v>
      </c>
      <c r="J22" s="448"/>
      <c r="K22" s="1386"/>
      <c r="L22" s="1143"/>
      <c r="M22" s="1134"/>
      <c r="N22" s="1134"/>
      <c r="O22" s="1134"/>
      <c r="P22" s="3199"/>
      <c r="Q22" s="1813"/>
      <c r="R22" s="774"/>
      <c r="S22" s="775"/>
      <c r="T22" s="774"/>
      <c r="U22" s="775"/>
      <c r="V22" s="774"/>
      <c r="W22" s="775"/>
      <c r="X22" s="1816"/>
      <c r="Y22" s="3201"/>
      <c r="Z22" s="1817"/>
      <c r="AA22" s="1814">
        <v>1</v>
      </c>
      <c r="AB22" s="1814">
        <v>1</v>
      </c>
      <c r="AC22" s="2677">
        <v>1</v>
      </c>
    </row>
    <row r="23" spans="1:29" ht="54">
      <c r="A23" s="428"/>
      <c r="B23" s="631" t="s">
        <v>2688</v>
      </c>
      <c r="C23" s="2678" t="str">
        <f>估价对象房地状况!C9</f>
        <v>区域自然环境：；人文环境；综合评价环境状况较好</v>
      </c>
      <c r="D23" s="450">
        <v>100</v>
      </c>
      <c r="E23" s="2990" t="s">
        <v>3139</v>
      </c>
      <c r="F23" s="450">
        <f>SUMIF(85:85,E24,86:86)-SUMIF(85:85,C24,86:86)+100</f>
        <v>98</v>
      </c>
      <c r="G23" s="2989" t="s">
        <v>3138</v>
      </c>
      <c r="H23" s="450">
        <f>SUMIF(85:85,G24,86:86)-SUMIF(85:85,C24,86:86)+100</f>
        <v>100</v>
      </c>
      <c r="I23" s="2989" t="s">
        <v>3138</v>
      </c>
      <c r="J23" s="450">
        <f>SUMIF(85:85,I24,86:86)-SUMIF(85:85,C24,86:86)+100</f>
        <v>100</v>
      </c>
      <c r="K23" s="614">
        <v>2</v>
      </c>
      <c r="L23" s="1143"/>
      <c r="M23" s="1134"/>
      <c r="N23" s="1134"/>
      <c r="O23" s="1134"/>
      <c r="P23" s="3199"/>
      <c r="Q23" s="1813" t="str">
        <f>B23</f>
        <v>环境质量</v>
      </c>
      <c r="R23" s="774" t="s">
        <v>17</v>
      </c>
      <c r="S23" s="775">
        <f>F23</f>
        <v>98</v>
      </c>
      <c r="T23" s="774" t="s">
        <v>17</v>
      </c>
      <c r="U23" s="775">
        <f>H23</f>
        <v>100</v>
      </c>
      <c r="V23" s="774" t="s">
        <v>17</v>
      </c>
      <c r="W23" s="775">
        <f>J23</f>
        <v>100</v>
      </c>
      <c r="X23" s="1816"/>
      <c r="Y23" s="3201"/>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199"/>
      <c r="Q24" s="1813"/>
      <c r="R24" s="774"/>
      <c r="S24" s="775"/>
      <c r="T24" s="774"/>
      <c r="U24" s="775"/>
      <c r="V24" s="774"/>
      <c r="W24" s="775"/>
      <c r="X24" s="1816"/>
      <c r="Y24" s="3201"/>
      <c r="Z24" s="1817"/>
      <c r="AA24" s="1814">
        <v>1</v>
      </c>
      <c r="AB24" s="1814">
        <v>1</v>
      </c>
      <c r="AC24" s="2677">
        <v>1</v>
      </c>
    </row>
    <row r="25" spans="1:29" ht="27">
      <c r="A25" s="404"/>
      <c r="B25" s="631" t="s">
        <v>2689</v>
      </c>
      <c r="C25" s="2993" t="s">
        <v>3141</v>
      </c>
      <c r="D25" s="435">
        <v>100</v>
      </c>
      <c r="E25" s="2994" t="s">
        <v>3142</v>
      </c>
      <c r="F25" s="435">
        <f>SUMIF(87:87,E26,88:88)-SUMIF(87:87,C26,88:88)+100</f>
        <v>100</v>
      </c>
      <c r="G25" s="2993" t="s">
        <v>3143</v>
      </c>
      <c r="H25" s="435">
        <f>SUMIF(87:87,G26,88:88)-SUMIF(87:87,C26,88:88)+100</f>
        <v>100</v>
      </c>
      <c r="I25" s="2994" t="s">
        <v>3141</v>
      </c>
      <c r="J25" s="435">
        <f>SUMIF(87:87,I26,88:88)-SUMIF(87:87,C26,88:88)+100</f>
        <v>100</v>
      </c>
      <c r="K25" s="614">
        <v>2</v>
      </c>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201"/>
      <c r="Z25" s="1817" t="str">
        <f>Q25</f>
        <v>毗邻道路的类型与等级</v>
      </c>
      <c r="AA25" s="1814">
        <f t="shared" si="3"/>
        <v>1</v>
      </c>
      <c r="AB25" s="1814">
        <f t="shared" si="4"/>
        <v>1</v>
      </c>
      <c r="AC25" s="2677">
        <f t="shared" si="5"/>
        <v>1</v>
      </c>
    </row>
    <row r="26" spans="1:29" ht="15">
      <c r="A26" s="404"/>
      <c r="B26" s="632"/>
      <c r="C26" s="634" t="s">
        <v>3107</v>
      </c>
      <c r="D26" s="435"/>
      <c r="E26" s="616" t="s">
        <v>3107</v>
      </c>
      <c r="F26" s="435"/>
      <c r="G26" s="634" t="s">
        <v>3107</v>
      </c>
      <c r="H26" s="435"/>
      <c r="I26" s="616" t="s">
        <v>3107</v>
      </c>
      <c r="J26" s="435"/>
      <c r="K26" s="615"/>
      <c r="L26" s="1143"/>
      <c r="M26" s="1134"/>
      <c r="N26" s="1134"/>
      <c r="O26" s="1134"/>
      <c r="P26" s="3199"/>
      <c r="Q26" s="1813"/>
      <c r="R26" s="774"/>
      <c r="S26" s="775"/>
      <c r="T26" s="774"/>
      <c r="U26" s="775"/>
      <c r="V26" s="774"/>
      <c r="W26" s="775"/>
      <c r="X26" s="1816"/>
      <c r="Y26" s="3201"/>
      <c r="Z26" s="1817"/>
      <c r="AA26" s="1814">
        <v>1</v>
      </c>
      <c r="AB26" s="1814">
        <v>1</v>
      </c>
      <c r="AC26" s="2677">
        <v>1</v>
      </c>
    </row>
    <row r="27" spans="1:29" ht="15.75" thickBot="1">
      <c r="A27" s="428"/>
      <c r="B27" s="3336" t="s">
        <v>2657</v>
      </c>
      <c r="C27" s="634">
        <v>2</v>
      </c>
      <c r="D27" s="435">
        <v>100</v>
      </c>
      <c r="E27" s="616">
        <v>2</v>
      </c>
      <c r="F27" s="435">
        <f>SUMIF(89:89,E27,90:90)-SUMIF(89:89,C27,90:90)+100</f>
        <v>100</v>
      </c>
      <c r="G27" s="634">
        <v>2</v>
      </c>
      <c r="H27" s="435">
        <f>SUMIF(89:89,G27,90:90)-SUMIF(89:89,C27,90:90)+100</f>
        <v>100</v>
      </c>
      <c r="I27" s="616">
        <v>2</v>
      </c>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201"/>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201"/>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201"/>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201"/>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201"/>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201"/>
      <c r="Z32" s="1817">
        <f t="shared" si="15"/>
        <v>111</v>
      </c>
      <c r="AA32" s="1814">
        <f t="shared" si="3"/>
        <v>1</v>
      </c>
      <c r="AB32" s="1814">
        <f t="shared" si="4"/>
        <v>1</v>
      </c>
      <c r="AC32" s="2677">
        <f t="shared" si="5"/>
        <v>1</v>
      </c>
    </row>
    <row r="33" spans="1:29" ht="15">
      <c r="A33" s="440" t="s">
        <v>2561</v>
      </c>
      <c r="B33" s="71" t="s">
        <v>2691</v>
      </c>
      <c r="C33" s="2984" t="s">
        <v>3111</v>
      </c>
      <c r="D33" s="467">
        <v>100</v>
      </c>
      <c r="E33" s="2984" t="s">
        <v>3111</v>
      </c>
      <c r="F33" s="461">
        <f>SUMIF(101:101,E33,102:102)-SUMIF(101:101,C33,102:102)+100</f>
        <v>100</v>
      </c>
      <c r="G33" s="2984" t="s">
        <v>3111</v>
      </c>
      <c r="H33" s="435">
        <f>SUMIF(101:101,G33,102:102)-SUMIF(101:101,C33,102:102)+100</f>
        <v>100</v>
      </c>
      <c r="I33" s="2984" t="s">
        <v>3111</v>
      </c>
      <c r="J33" s="467">
        <f>SUMIF(101:101,I33,102:102)-SUMIF(101:101,C33,102:102)+100</f>
        <v>100</v>
      </c>
      <c r="K33" s="612"/>
      <c r="L33" s="1143"/>
      <c r="M33" s="1134"/>
      <c r="N33" s="1134"/>
      <c r="O33" s="1134"/>
      <c r="P33" s="3202" t="s">
        <v>2563</v>
      </c>
      <c r="Q33" s="1813" t="str">
        <f t="shared" si="11"/>
        <v>建筑类型</v>
      </c>
      <c r="R33" s="774" t="s">
        <v>17</v>
      </c>
      <c r="S33" s="775">
        <f t="shared" si="12"/>
        <v>100</v>
      </c>
      <c r="T33" s="774" t="s">
        <v>17</v>
      </c>
      <c r="U33" s="775">
        <f t="shared" si="13"/>
        <v>100</v>
      </c>
      <c r="V33" s="774" t="s">
        <v>17</v>
      </c>
      <c r="W33" s="775">
        <f t="shared" si="14"/>
        <v>100</v>
      </c>
      <c r="X33" s="1816"/>
      <c r="Y33" s="3205" t="s">
        <v>2563</v>
      </c>
      <c r="Z33" s="1817" t="str">
        <f t="shared" si="15"/>
        <v>建筑类型</v>
      </c>
      <c r="AA33" s="1814">
        <f t="shared" si="3"/>
        <v>1</v>
      </c>
      <c r="AB33" s="1814">
        <f t="shared" si="4"/>
        <v>1</v>
      </c>
      <c r="AC33" s="2677">
        <f t="shared" si="5"/>
        <v>1</v>
      </c>
    </row>
    <row r="34" spans="1:29" s="471" customFormat="1" ht="15">
      <c r="A34" s="468"/>
      <c r="B34" s="422" t="s">
        <v>2564</v>
      </c>
      <c r="C34" s="3330"/>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03"/>
      <c r="Q34" s="776" t="str">
        <f t="shared" si="11"/>
        <v>项目建筑规模</v>
      </c>
      <c r="R34" s="777" t="s">
        <v>17</v>
      </c>
      <c r="S34" s="778">
        <f t="shared" si="12"/>
        <v>100</v>
      </c>
      <c r="T34" s="777" t="s">
        <v>17</v>
      </c>
      <c r="U34" s="778">
        <f t="shared" si="13"/>
        <v>100</v>
      </c>
      <c r="V34" s="777" t="s">
        <v>17</v>
      </c>
      <c r="W34" s="778">
        <f t="shared" si="14"/>
        <v>100</v>
      </c>
      <c r="X34" s="779"/>
      <c r="Y34" s="3205"/>
      <c r="Z34" s="780" t="str">
        <f t="shared" si="15"/>
        <v>项目建筑规模</v>
      </c>
      <c r="AA34" s="1814">
        <f t="shared" si="3"/>
        <v>1</v>
      </c>
      <c r="AB34" s="1814">
        <f t="shared" si="4"/>
        <v>1</v>
      </c>
      <c r="AC34" s="2677">
        <f t="shared" si="5"/>
        <v>1</v>
      </c>
    </row>
    <row r="35" spans="1:29" ht="15">
      <c r="A35" s="472"/>
      <c r="B35" s="422" t="s">
        <v>2565</v>
      </c>
      <c r="C35" s="2985" t="s">
        <v>3112</v>
      </c>
      <c r="D35" s="435">
        <v>100</v>
      </c>
      <c r="E35" s="2985" t="s">
        <v>3112</v>
      </c>
      <c r="F35" s="461">
        <f>SUMIF(106:106,E35,107:107)-SUMIF(106:106,C35,107:107)+100</f>
        <v>100</v>
      </c>
      <c r="G35" s="2985" t="s">
        <v>3112</v>
      </c>
      <c r="H35" s="435">
        <f>SUMIF(106:106,G35,107:107)-SUMIF(106:106,C35,107:107)+100</f>
        <v>100</v>
      </c>
      <c r="I35" s="2985" t="s">
        <v>3112</v>
      </c>
      <c r="J35" s="435">
        <f>SUMIF(106:106,I35,107:107)-SUMIF(106:106,C35,107:107)+100</f>
        <v>100</v>
      </c>
      <c r="K35" s="612"/>
      <c r="L35" s="1143"/>
      <c r="M35" s="1134"/>
      <c r="N35" s="1134"/>
      <c r="O35" s="1134"/>
      <c r="P35" s="3203"/>
      <c r="Q35" s="1813" t="str">
        <f t="shared" si="11"/>
        <v>建筑结构</v>
      </c>
      <c r="R35" s="774" t="s">
        <v>17</v>
      </c>
      <c r="S35" s="775">
        <f t="shared" si="12"/>
        <v>100</v>
      </c>
      <c r="T35" s="774" t="s">
        <v>17</v>
      </c>
      <c r="U35" s="775">
        <f t="shared" si="13"/>
        <v>100</v>
      </c>
      <c r="V35" s="774" t="s">
        <v>17</v>
      </c>
      <c r="W35" s="775">
        <f t="shared" si="14"/>
        <v>100</v>
      </c>
      <c r="X35" s="1816"/>
      <c r="Y35" s="3205"/>
      <c r="Z35" s="1817" t="str">
        <f t="shared" si="15"/>
        <v>建筑结构</v>
      </c>
      <c r="AA35" s="1814">
        <f t="shared" si="3"/>
        <v>1</v>
      </c>
      <c r="AB35" s="1814">
        <f t="shared" si="4"/>
        <v>1</v>
      </c>
      <c r="AC35" s="2677">
        <f t="shared" si="5"/>
        <v>1</v>
      </c>
    </row>
    <row r="36" spans="1:29" ht="15">
      <c r="A36" s="472"/>
      <c r="B36" s="422" t="s">
        <v>2659</v>
      </c>
      <c r="C36" s="2985" t="s">
        <v>3113</v>
      </c>
      <c r="D36" s="435">
        <v>100</v>
      </c>
      <c r="E36" s="2985" t="s">
        <v>3113</v>
      </c>
      <c r="F36" s="461">
        <f>SUMIF(108:108,E36,109:109)-SUMIF(108:108,C36,109:109)+100</f>
        <v>100</v>
      </c>
      <c r="G36" s="2985" t="s">
        <v>3113</v>
      </c>
      <c r="H36" s="435">
        <f>SUMIF(108:108,G36,109:109)-SUMIF(108:108,C36,109:109)+100</f>
        <v>100</v>
      </c>
      <c r="I36" s="2985" t="s">
        <v>3113</v>
      </c>
      <c r="J36" s="435">
        <f>SUMIF(108:108,I36,109:109)-SUMIF(108:108,C36,109:109)+100</f>
        <v>100</v>
      </c>
      <c r="K36" s="612"/>
      <c r="L36" s="1143"/>
      <c r="M36" s="1134"/>
      <c r="N36" s="1134"/>
      <c r="O36" s="1134"/>
      <c r="P36" s="3203"/>
      <c r="Q36" s="1813" t="str">
        <f t="shared" si="11"/>
        <v>公共部分装修</v>
      </c>
      <c r="R36" s="774" t="s">
        <v>17</v>
      </c>
      <c r="S36" s="775">
        <f t="shared" si="12"/>
        <v>100</v>
      </c>
      <c r="T36" s="774" t="s">
        <v>17</v>
      </c>
      <c r="U36" s="775">
        <f t="shared" si="13"/>
        <v>100</v>
      </c>
      <c r="V36" s="774" t="s">
        <v>17</v>
      </c>
      <c r="W36" s="775">
        <f t="shared" si="14"/>
        <v>100</v>
      </c>
      <c r="X36" s="1816"/>
      <c r="Y36" s="3205"/>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03"/>
      <c r="Q37" s="1813" t="str">
        <f t="shared" si="11"/>
        <v>成新度</v>
      </c>
      <c r="R37" s="774" t="s">
        <v>17</v>
      </c>
      <c r="S37" s="775">
        <f t="shared" si="12"/>
        <v>100</v>
      </c>
      <c r="T37" s="774" t="s">
        <v>17</v>
      </c>
      <c r="U37" s="775">
        <f t="shared" si="13"/>
        <v>100</v>
      </c>
      <c r="V37" s="774" t="s">
        <v>17</v>
      </c>
      <c r="W37" s="775">
        <f t="shared" si="14"/>
        <v>100</v>
      </c>
      <c r="X37" s="1816"/>
      <c r="Y37" s="3205"/>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3"/>
      <c r="Q38" s="1798"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3" t="s">
        <v>2563</v>
      </c>
      <c r="Q39" s="1813" t="str">
        <f t="shared" si="11"/>
        <v>物业管理</v>
      </c>
      <c r="R39" s="774" t="s">
        <v>17</v>
      </c>
      <c r="S39" s="775">
        <f t="shared" si="12"/>
        <v>100</v>
      </c>
      <c r="T39" s="774" t="s">
        <v>17</v>
      </c>
      <c r="U39" s="775">
        <f t="shared" si="13"/>
        <v>100</v>
      </c>
      <c r="V39" s="774" t="s">
        <v>17</v>
      </c>
      <c r="W39" s="775">
        <f t="shared" si="14"/>
        <v>100</v>
      </c>
      <c r="X39" s="1816"/>
      <c r="Y39" s="3205" t="s">
        <v>2563</v>
      </c>
      <c r="Z39" s="1817" t="str">
        <f t="shared" si="15"/>
        <v>物业管理</v>
      </c>
      <c r="AA39" s="1814">
        <f t="shared" si="3"/>
        <v>1</v>
      </c>
      <c r="AB39" s="1814">
        <f t="shared" si="4"/>
        <v>1</v>
      </c>
      <c r="AC39" s="2677">
        <f t="shared" si="5"/>
        <v>1</v>
      </c>
    </row>
    <row r="40" spans="1:29" ht="15">
      <c r="A40" s="472"/>
      <c r="B40" s="422" t="s">
        <v>2661</v>
      </c>
      <c r="C40" s="2985" t="s">
        <v>3114</v>
      </c>
      <c r="D40" s="435">
        <v>100</v>
      </c>
      <c r="E40" s="2985" t="s">
        <v>3114</v>
      </c>
      <c r="F40" s="461">
        <f>SUMIF(117:117,E40,118:118)-SUMIF(117:117,C40,118:118)+100</f>
        <v>100</v>
      </c>
      <c r="G40" s="2985" t="s">
        <v>3114</v>
      </c>
      <c r="H40" s="435">
        <f>SUMIF(117:117,G40,118:118)-SUMIF(117:117,C40,118:118)+100</f>
        <v>100</v>
      </c>
      <c r="I40" s="2985" t="s">
        <v>3114</v>
      </c>
      <c r="J40" s="435">
        <f>SUMIF(117:117,I40,118:118)-SUMIF(117:117,C40,118:118)+100</f>
        <v>100</v>
      </c>
      <c r="K40" s="612"/>
      <c r="L40" s="1143"/>
      <c r="M40" s="1134"/>
      <c r="N40" s="1134"/>
      <c r="O40" s="1134"/>
      <c r="P40" s="3203"/>
      <c r="Q40" s="1813" t="str">
        <f t="shared" si="11"/>
        <v>市政基础设施</v>
      </c>
      <c r="R40" s="774" t="s">
        <v>17</v>
      </c>
      <c r="S40" s="775">
        <f t="shared" si="12"/>
        <v>100</v>
      </c>
      <c r="T40" s="774" t="s">
        <v>17</v>
      </c>
      <c r="U40" s="775">
        <f t="shared" si="13"/>
        <v>100</v>
      </c>
      <c r="V40" s="774" t="s">
        <v>17</v>
      </c>
      <c r="W40" s="775">
        <f t="shared" si="14"/>
        <v>100</v>
      </c>
      <c r="X40" s="1816"/>
      <c r="Y40" s="3205"/>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03"/>
      <c r="Q41" s="1813" t="str">
        <f t="shared" si="11"/>
        <v>层高</v>
      </c>
      <c r="R41" s="774" t="s">
        <v>17</v>
      </c>
      <c r="S41" s="775">
        <f t="shared" si="12"/>
        <v>100</v>
      </c>
      <c r="T41" s="774" t="s">
        <v>17</v>
      </c>
      <c r="U41" s="775">
        <f t="shared" si="13"/>
        <v>100</v>
      </c>
      <c r="V41" s="774" t="s">
        <v>17</v>
      </c>
      <c r="W41" s="775">
        <f t="shared" si="14"/>
        <v>100</v>
      </c>
      <c r="X41" s="1816"/>
      <c r="Y41" s="3205"/>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3"/>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814">
        <f t="shared" si="3"/>
        <v>1</v>
      </c>
      <c r="AB42" s="1814">
        <f t="shared" si="4"/>
        <v>1</v>
      </c>
      <c r="AC42" s="2677">
        <f t="shared" si="5"/>
        <v>1</v>
      </c>
    </row>
    <row r="43" spans="1:29" ht="15">
      <c r="A43" s="472"/>
      <c r="B43" s="422" t="s">
        <v>2666</v>
      </c>
      <c r="C43" s="2985" t="s">
        <v>3115</v>
      </c>
      <c r="D43" s="435">
        <v>100</v>
      </c>
      <c r="E43" s="2985" t="s">
        <v>3115</v>
      </c>
      <c r="F43" s="461">
        <f>SUMIF(123:123,E43,124:124)-SUMIF(123:123,C43,124:124)+100</f>
        <v>100</v>
      </c>
      <c r="G43" s="2985" t="s">
        <v>3115</v>
      </c>
      <c r="H43" s="435">
        <f>SUMIF(123:123,G43,124:124)-SUMIF(123:123,C43,124:124)+100</f>
        <v>100</v>
      </c>
      <c r="I43" s="2985" t="s">
        <v>3115</v>
      </c>
      <c r="J43" s="435">
        <f>SUMIF(123:123,I43,124:124)-SUMIF(123:123,C43,124:124)+100</f>
        <v>100</v>
      </c>
      <c r="K43" s="612"/>
      <c r="L43" s="1143"/>
      <c r="M43" s="1134"/>
      <c r="N43" s="1134"/>
      <c r="O43" s="1134"/>
      <c r="P43" s="3203"/>
      <c r="Q43" s="1813" t="str">
        <f t="shared" si="11"/>
        <v>内部装修</v>
      </c>
      <c r="R43" s="774" t="s">
        <v>17</v>
      </c>
      <c r="S43" s="775">
        <f t="shared" si="12"/>
        <v>100</v>
      </c>
      <c r="T43" s="774" t="s">
        <v>17</v>
      </c>
      <c r="U43" s="775">
        <f t="shared" si="13"/>
        <v>100</v>
      </c>
      <c r="V43" s="774" t="s">
        <v>17</v>
      </c>
      <c r="W43" s="775">
        <f t="shared" si="14"/>
        <v>100</v>
      </c>
      <c r="X43" s="1816"/>
      <c r="Y43" s="3205"/>
      <c r="Z43" s="1817" t="str">
        <f t="shared" si="15"/>
        <v>内部装修</v>
      </c>
      <c r="AA43" s="1814">
        <f t="shared" si="3"/>
        <v>1</v>
      </c>
      <c r="AB43" s="1814">
        <f t="shared" si="4"/>
        <v>1</v>
      </c>
      <c r="AC43" s="2677">
        <f t="shared" si="5"/>
        <v>1</v>
      </c>
    </row>
    <row r="44" spans="1:29" ht="15">
      <c r="A44" s="472"/>
      <c r="B44" s="422" t="s">
        <v>2574</v>
      </c>
      <c r="C44" s="2985" t="s">
        <v>3116</v>
      </c>
      <c r="D44" s="435">
        <v>100</v>
      </c>
      <c r="E44" s="2980" t="s">
        <v>3116</v>
      </c>
      <c r="F44" s="461">
        <f>SUMIF(125:125,E44,126:126)-SUMIF(125:125,C44,126:126)+100</f>
        <v>100</v>
      </c>
      <c r="G44" s="2980" t="s">
        <v>3116</v>
      </c>
      <c r="H44" s="435">
        <f>SUMIF(125:125,G44,126:126)-SUMIF(125:125,C44,126:126)+100</f>
        <v>100</v>
      </c>
      <c r="I44" s="2980" t="s">
        <v>3116</v>
      </c>
      <c r="J44" s="435">
        <f>SUMIF(125:125,I44,126:126)-SUMIF(125:125,C44,126:126)+100</f>
        <v>100</v>
      </c>
      <c r="K44" s="612"/>
      <c r="L44" s="1143"/>
      <c r="M44" s="1134"/>
      <c r="N44" s="1134"/>
      <c r="O44" s="1134"/>
      <c r="P44" s="3203"/>
      <c r="Q44" s="1813" t="str">
        <f t="shared" si="11"/>
        <v>内部装修维护情况</v>
      </c>
      <c r="R44" s="774" t="s">
        <v>17</v>
      </c>
      <c r="S44" s="775">
        <f t="shared" si="12"/>
        <v>100</v>
      </c>
      <c r="T44" s="774" t="s">
        <v>17</v>
      </c>
      <c r="U44" s="775">
        <f t="shared" si="13"/>
        <v>100</v>
      </c>
      <c r="V44" s="774" t="s">
        <v>17</v>
      </c>
      <c r="W44" s="775">
        <f t="shared" si="14"/>
        <v>100</v>
      </c>
      <c r="X44" s="1816"/>
      <c r="Y44" s="3205"/>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3"/>
      <c r="Q45" s="1798">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4"/>
      <c r="Q47" s="1813">
        <f t="shared" si="11"/>
        <v>111</v>
      </c>
      <c r="R47" s="774" t="s">
        <v>17</v>
      </c>
      <c r="S47" s="775">
        <f t="shared" si="12"/>
        <v>100</v>
      </c>
      <c r="T47" s="774" t="s">
        <v>17</v>
      </c>
      <c r="U47" s="775">
        <f t="shared" si="13"/>
        <v>100</v>
      </c>
      <c r="V47" s="774" t="s">
        <v>17</v>
      </c>
      <c r="W47" s="775">
        <f t="shared" si="14"/>
        <v>100</v>
      </c>
      <c r="X47" s="1816"/>
      <c r="Y47" s="3206"/>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08" t="str">
        <f>A48</f>
        <v>成交单价（元/平方米）</v>
      </c>
      <c r="Q48" s="3193"/>
      <c r="R48" s="3194">
        <f>E48</f>
        <v>8000</v>
      </c>
      <c r="S48" s="3194"/>
      <c r="T48" s="3194">
        <f>G48</f>
        <v>8800</v>
      </c>
      <c r="U48" s="3194"/>
      <c r="V48" s="3194">
        <f>I48</f>
        <v>8500</v>
      </c>
      <c r="W48" s="3194"/>
      <c r="X48" s="446"/>
      <c r="Y48" s="781"/>
      <c r="Z48" s="446"/>
      <c r="AA48" s="446"/>
      <c r="AB48" s="446"/>
      <c r="AC48" s="630"/>
    </row>
    <row r="49" spans="1:29" ht="15.75" thickBot="1">
      <c r="A49" s="486" t="s">
        <v>2667</v>
      </c>
      <c r="B49" s="487"/>
      <c r="C49" s="1416">
        <f>R50</f>
        <v>8548</v>
      </c>
      <c r="D49" s="1417"/>
      <c r="E49" s="1418">
        <f>R49</f>
        <v>8163</v>
      </c>
      <c r="F49" s="1418"/>
      <c r="G49" s="1416">
        <f>T49</f>
        <v>8980</v>
      </c>
      <c r="H49" s="1417"/>
      <c r="I49" s="1418">
        <f>V49</f>
        <v>8500</v>
      </c>
      <c r="J49" s="489"/>
      <c r="K49" s="784"/>
      <c r="L49" s="1146"/>
      <c r="M49" s="1134"/>
      <c r="N49" s="1134"/>
      <c r="O49" s="1134"/>
      <c r="P49" s="3208" t="str">
        <f>A49</f>
        <v>比较价值（元/平方米）</v>
      </c>
      <c r="Q49" s="3193"/>
      <c r="R49" s="3194">
        <f>IF(F1="售价",ROUND(PRODUCT(R48,AA7:AA47),0),ROUND(PRODUCT(R48,AA7:AA47),1))</f>
        <v>8163</v>
      </c>
      <c r="S49" s="3194"/>
      <c r="T49" s="3194">
        <f>IF(F1="售价",ROUND(PRODUCT(T48,AB7:AB47),0),ROUND(PRODUCT(T48,AB7:AB47),1))</f>
        <v>8980</v>
      </c>
      <c r="U49" s="3194"/>
      <c r="V49" s="3194">
        <f>IF(F1="售价",ROUND(PRODUCT(V48,AC7:AC47),0),ROUND(PRODUCT(V48,AC7:AC47),1))</f>
        <v>8500</v>
      </c>
      <c r="W49" s="3194"/>
      <c r="X49" s="446"/>
      <c r="Y49" s="446"/>
      <c r="Z49" s="446"/>
      <c r="AA49" s="446"/>
      <c r="AB49" s="446"/>
      <c r="AC49" s="630"/>
    </row>
    <row r="50" spans="1:29" ht="15.75" thickBot="1">
      <c r="A50" s="492" t="s">
        <v>2668</v>
      </c>
      <c r="B50" s="493"/>
      <c r="C50" s="1420">
        <f>R50</f>
        <v>8548</v>
      </c>
      <c r="D50" s="1420"/>
      <c r="E50" s="1420"/>
      <c r="F50" s="1420"/>
      <c r="G50" s="1420"/>
      <c r="H50" s="1420"/>
      <c r="I50" s="1420"/>
      <c r="J50" s="494"/>
      <c r="K50" s="785"/>
      <c r="L50" s="1146"/>
      <c r="M50" s="1134"/>
      <c r="N50" s="1134"/>
      <c r="O50" s="1134"/>
      <c r="P50" s="3263" t="str">
        <f>A50</f>
        <v>估价对象XX用房的比较价值（楼面单价，元/平方米）</v>
      </c>
      <c r="Q50" s="3264"/>
      <c r="R50" s="3265">
        <f>IF(F1="售价",ROUND(AVERAGE(R49:V49),0),ROUND(AVERAGE(R49:V49),1))</f>
        <v>8548</v>
      </c>
      <c r="S50" s="3265"/>
      <c r="T50" s="3265"/>
      <c r="U50" s="3265"/>
      <c r="V50" s="3265"/>
      <c r="W50" s="326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2.0375000000000032E-2</v>
      </c>
      <c r="F53" s="500" t="str">
        <f>IF(OR(E53&gt;=0.3,E53&lt;=-0.3),"超过30%","")</f>
        <v/>
      </c>
      <c r="G53" s="499">
        <f>IF(G48&lt;G49,G49/G48-1,G48/G49-1)</f>
        <v>2.0454545454545503E-2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2670</v>
      </c>
      <c r="D54" s="501"/>
      <c r="E54" s="499">
        <f>IF(E49&lt;G49,G49/E49-1,E49/G49-1)</f>
        <v>0.10008575278696563</v>
      </c>
      <c r="F54" s="500" t="str">
        <f>IF(OR(E54&gt;=0.2,E54&lt;=-0.2),"超过20%","")</f>
        <v/>
      </c>
      <c r="G54" s="499">
        <f>IF(G49&lt;I49,I49/G49-1,G49/I49-1)</f>
        <v>5.647058823529405E-2</v>
      </c>
      <c r="H54" s="500" t="str">
        <f>IF(OR(G54&gt;=0.2,G54&lt;=-0.2),"超过20%","")</f>
        <v/>
      </c>
      <c r="I54" s="499">
        <f>IF(I49&lt;E49,E49/I49-1,I49/E49-1)</f>
        <v>4.1283841724855996E-2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3106</v>
      </c>
      <c r="D87" s="2983" t="s">
        <v>3108</v>
      </c>
      <c r="E87" s="2983" t="s">
        <v>3109</v>
      </c>
      <c r="F87" s="2983" t="s">
        <v>3110</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0(含)-10000</v>
      </c>
      <c r="D103" s="578" t="str">
        <f t="shared" ref="D103:L103" si="23">D104&amp;"(含)"&amp;"-"&amp;E104</f>
        <v>10000(含)-20000</v>
      </c>
      <c r="E103" s="578" t="str">
        <f t="shared" si="23"/>
        <v>20000(含)-30000</v>
      </c>
      <c r="F103" s="578" t="str">
        <f t="shared" si="23"/>
        <v>30000(含)-40000</v>
      </c>
      <c r="G103" s="578" t="str">
        <f t="shared" si="23"/>
        <v>40000(含)-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10000</v>
      </c>
      <c r="E104" s="595">
        <v>20000</v>
      </c>
      <c r="F104" s="595">
        <v>30000</v>
      </c>
      <c r="G104" s="595">
        <v>40000</v>
      </c>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90" zoomScaleNormal="90" zoomScaleSheetLayoutView="90" workbookViewId="0">
      <selection activeCell="H25" sqref="H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1686</v>
      </c>
      <c r="C2" s="1848" t="s">
        <v>1516</v>
      </c>
      <c r="D2" s="1941">
        <f ca="1">C40+J29+L46</f>
        <v>16860504</v>
      </c>
      <c r="E2" s="1849" t="s">
        <v>1592</v>
      </c>
      <c r="F2" s="1850"/>
      <c r="G2" s="1851"/>
      <c r="H2" s="1843"/>
      <c r="I2" s="1843"/>
      <c r="J2" s="1843"/>
      <c r="K2" s="1844"/>
      <c r="L2" s="1843"/>
      <c r="M2" s="1843"/>
    </row>
    <row r="3" spans="1:37" ht="18" customHeight="1" thickBot="1">
      <c r="A3" s="1852" t="s">
        <v>1517</v>
      </c>
      <c r="B3" s="1853">
        <f ca="1">IF(ISERROR(D2/F43),0,ROUND(D2/F43,0))</f>
        <v>7348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1132121</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ROUND(F6*F8*F7*(1-F9),0)</f>
        <v>1130708</v>
      </c>
      <c r="D6" s="164" t="s">
        <v>3027</v>
      </c>
      <c r="E6" s="347" t="s">
        <v>1405</v>
      </c>
      <c r="F6" s="348">
        <f ca="1">INDIRECT("'数据-取费表'!u"&amp;$G$1)</f>
        <v>1.5</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2951" t="s">
        <v>1406</v>
      </c>
      <c r="F7" s="348">
        <f ca="1">IF(INDIRECT("'数据-取费表'!ah"&amp;$G$1)="",INDIRECT("'数据-取费表'!k"&amp;$G$1),INDIRECT("'数据-取费表'!ah"&amp;$G$1))</f>
        <v>2294.6900000000005</v>
      </c>
      <c r="G7" s="1854"/>
      <c r="H7" s="349"/>
      <c r="I7" s="3191"/>
      <c r="J7" s="351"/>
      <c r="K7" s="352"/>
      <c r="L7" s="347" t="s">
        <v>1406</v>
      </c>
      <c r="M7" s="348">
        <f ca="1">F7</f>
        <v>2294.6900000000005</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1413</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8863329</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5966194</v>
      </c>
      <c r="D14" s="2960" t="s">
        <v>1418</v>
      </c>
      <c r="E14" s="2959"/>
      <c r="F14" s="364"/>
      <c r="G14" s="1854"/>
      <c r="H14" s="1204" t="s">
        <v>1035</v>
      </c>
      <c r="I14" s="347" t="s">
        <v>1419</v>
      </c>
      <c r="J14" s="24">
        <f ca="1">C29</f>
        <v>9044213</v>
      </c>
      <c r="K14" s="2950"/>
      <c r="L14" s="982"/>
      <c r="M14" s="983"/>
    </row>
    <row r="15" spans="1:37" s="1861" customFormat="1" ht="18" customHeight="1" thickBot="1">
      <c r="A15" s="1204" t="s">
        <v>1036</v>
      </c>
      <c r="B15" s="347" t="s">
        <v>1420</v>
      </c>
      <c r="C15" s="24">
        <f ca="1">ROUND(C14*F15,0)</f>
        <v>178986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218091</v>
      </c>
      <c r="K16" s="1340" t="s">
        <v>1425</v>
      </c>
      <c r="L16" s="2963"/>
      <c r="M16" s="1297"/>
    </row>
    <row r="17" spans="1:37" s="1861" customFormat="1" ht="18" customHeight="1">
      <c r="A17" s="1204" t="s">
        <v>1390</v>
      </c>
      <c r="B17" s="347" t="s">
        <v>1426</v>
      </c>
      <c r="C17" s="24">
        <f ca="1">ROUND(F17*(F43+INDIRECT("'数据-取费表'!S"&amp;$G$1)),0)</f>
        <v>458938</v>
      </c>
      <c r="D17" s="347" t="s">
        <v>1427</v>
      </c>
      <c r="E17" s="347" t="s">
        <v>1428</v>
      </c>
      <c r="F17" s="26">
        <f>'数据-取费表'!B35</f>
        <v>200</v>
      </c>
      <c r="G17" s="1857"/>
      <c r="H17" s="1204" t="s">
        <v>1035</v>
      </c>
      <c r="I17" s="347" t="s">
        <v>1429</v>
      </c>
      <c r="J17" s="24">
        <f ca="1">ROUND(IF(项目基本情况!B11="自然人",J5*M17,J18+J19+J20),0)</f>
        <v>82428</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89493</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6693611</v>
      </c>
      <c r="D19" s="140" t="s">
        <v>1436</v>
      </c>
      <c r="E19" s="2948"/>
      <c r="F19" s="26"/>
      <c r="G19" s="1854"/>
      <c r="H19" s="1204" t="s">
        <v>1036</v>
      </c>
      <c r="I19" s="347" t="s">
        <v>1437</v>
      </c>
      <c r="J19" s="24">
        <f ca="1">IF(K19="按租金收入计税",ROUND(J5*M19,0),ROUND(C29*M19*0.7,0))</f>
        <v>75971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133872</v>
      </c>
      <c r="D20" s="369" t="s">
        <v>1440</v>
      </c>
      <c r="E20" s="347" t="s">
        <v>1422</v>
      </c>
      <c r="F20" s="367">
        <f>'数据-取费表'!B37</f>
        <v>0.02</v>
      </c>
      <c r="G20" s="1857"/>
      <c r="H20" s="1204" t="s">
        <v>1389</v>
      </c>
      <c r="I20" s="164" t="s">
        <v>1441</v>
      </c>
      <c r="J20" s="25">
        <f ca="1">ROUND(M20*M21,0)</f>
        <v>6457</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587.04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48"/>
      <c r="F22" s="26"/>
      <c r="G22" s="1854"/>
      <c r="H22" s="1204" t="s">
        <v>1039</v>
      </c>
      <c r="I22" s="347" t="s">
        <v>1449</v>
      </c>
      <c r="J22" s="24">
        <f ca="1">ROUND(J14*M22,0)</f>
        <v>135663</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148498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-218091</v>
      </c>
      <c r="K25" s="1348" t="s">
        <v>1464</v>
      </c>
      <c r="L25" s="1349"/>
      <c r="M25" s="1350"/>
    </row>
    <row r="26" spans="1:37" ht="18" customHeight="1">
      <c r="A26" s="1204" t="s">
        <v>1034</v>
      </c>
      <c r="B26" s="347" t="s">
        <v>1465</v>
      </c>
      <c r="C26" s="24">
        <f ca="1">ROUND((C19+C20)*F26,0)</f>
        <v>1365497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9044213</v>
      </c>
      <c r="D29" s="1345"/>
      <c r="E29" s="1343"/>
      <c r="F29" s="1346"/>
      <c r="G29" s="1857"/>
      <c r="H29" s="380" t="s">
        <v>1033</v>
      </c>
      <c r="I29" s="381" t="s">
        <v>1479</v>
      </c>
      <c r="J29" s="382">
        <f ca="1">ROUND(J26/(1+F40)^F41,0)</f>
        <v>0</v>
      </c>
      <c r="K29" s="383" t="s">
        <v>1480</v>
      </c>
      <c r="L29" s="384"/>
      <c r="M29" s="385">
        <f ca="1">INDIRECT("'数据-取费表'!k"&amp;$G$1)</f>
        <v>2294.6900000000005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314408</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142808</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60380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75971</v>
      </c>
      <c r="D33" s="3337"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6457</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587.04</v>
      </c>
      <c r="G35" s="1854"/>
      <c r="H35" s="745"/>
      <c r="I35" s="1863"/>
      <c r="J35" s="1864"/>
      <c r="K35" s="1865"/>
      <c r="L35" s="1862"/>
      <c r="M35" s="1862"/>
    </row>
    <row r="36" spans="1:18" ht="18" customHeight="1">
      <c r="A36" s="1355" t="s">
        <v>1039</v>
      </c>
      <c r="B36" s="347" t="s">
        <v>1449</v>
      </c>
      <c r="C36" s="24">
        <f ca="1">ROUND(C29*F36,0)</f>
        <v>135663</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13295</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22642.400000000001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817713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16860504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7348</v>
      </c>
      <c r="D43" s="383" t="s">
        <v>1488</v>
      </c>
      <c r="E43" s="384" t="s">
        <v>1489</v>
      </c>
      <c r="F43" s="385">
        <f ca="1">INDIRECT("'数据-取费表'!k"&amp;$G$1)</f>
        <v>2294.6900000000005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-21631474</v>
      </c>
      <c r="D45" s="1943" t="s">
        <v>1604</v>
      </c>
      <c r="E45" s="1869"/>
      <c r="F45" s="1869"/>
      <c r="O45" s="1872" t="s">
        <v>1519</v>
      </c>
      <c r="P45" s="1842"/>
      <c r="Q45" s="1842"/>
      <c r="R45" s="1842"/>
    </row>
    <row r="46" spans="1:18" s="1845" customFormat="1" ht="13.5" thickBot="1">
      <c r="A46" s="1873" t="s">
        <v>1520</v>
      </c>
      <c r="C46" s="1874">
        <f ca="1">ROUND(C45/10000,0)</f>
        <v>-2163</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16860504</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9044213</v>
      </c>
      <c r="R49" s="1889" t="s">
        <v>1529</v>
      </c>
    </row>
    <row r="50" spans="1:18" s="1845" customFormat="1" ht="13.5" thickBot="1">
      <c r="A50" s="1198"/>
      <c r="B50" s="1201"/>
      <c r="C50" s="1202"/>
      <c r="D50" s="1175"/>
      <c r="E50" s="1280" t="s">
        <v>1406</v>
      </c>
      <c r="F50" s="1281">
        <f ca="1">F7</f>
        <v>2294.6900000000005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1855660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16860504</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8863329</v>
      </c>
      <c r="D56" s="1917"/>
      <c r="E56" s="1918"/>
      <c r="F56" s="1910"/>
      <c r="I56" s="1919" t="s">
        <v>1554</v>
      </c>
      <c r="J56" s="3338" t="s">
        <v>3056</v>
      </c>
      <c r="K56" s="1890" t="s">
        <v>1555</v>
      </c>
      <c r="L56" s="1893" t="str">
        <f ca="1">IF(L48&lt;J51,"——",L48-J51)</f>
        <v>——</v>
      </c>
      <c r="O56" s="1887" t="s">
        <v>1040</v>
      </c>
      <c r="P56" s="1888" t="s">
        <v>1528</v>
      </c>
      <c r="Q56" s="1889">
        <f ca="1">C40+J29</f>
        <v>16860504</v>
      </c>
      <c r="R56" s="1889" t="s">
        <v>1529</v>
      </c>
    </row>
    <row r="57" spans="1:18" s="1845" customFormat="1" ht="24.75" thickBot="1">
      <c r="A57" s="1921"/>
      <c r="B57" s="1172" t="s">
        <v>1478</v>
      </c>
      <c r="C57" s="282">
        <f ca="1">C29</f>
        <v>9044213</v>
      </c>
      <c r="D57" s="1922"/>
      <c r="E57" s="1923"/>
      <c r="F57" s="1924"/>
      <c r="I57" s="1925" t="s">
        <v>1556</v>
      </c>
      <c r="J57" s="1926" t="str">
        <f ca="1">IF(OR(M47="住宅",J51&lt;L48,J56="是"),"——",J51-L48)</f>
        <v>——</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231386</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82428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75971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6457</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16860504</v>
      </c>
      <c r="R62" s="1889" t="s">
        <v>1047</v>
      </c>
    </row>
    <row r="63" spans="1:18" s="1845" customFormat="1" ht="13.5" thickBot="1">
      <c r="A63" s="372"/>
      <c r="B63" s="1178"/>
      <c r="C63" s="29"/>
      <c r="D63" s="1188"/>
      <c r="E63" s="1172" t="s">
        <v>1447</v>
      </c>
      <c r="F63" s="348">
        <f t="shared" ca="1" si="0"/>
        <v>587.04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135663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13295</v>
      </c>
      <c r="D65" s="1186" t="s">
        <v>1454</v>
      </c>
      <c r="E65" s="1172" t="s">
        <v>1422</v>
      </c>
      <c r="F65" s="376">
        <f t="shared" ca="1" si="0"/>
        <v>1.5E-3</v>
      </c>
      <c r="I65" s="1932" t="s">
        <v>1579</v>
      </c>
      <c r="J65" s="1933">
        <v>40</v>
      </c>
      <c r="K65" s="1933">
        <v>30</v>
      </c>
      <c r="L65" s="1933">
        <v>50</v>
      </c>
      <c r="M65" s="1935">
        <v>0.02</v>
      </c>
      <c r="O65" s="1887" t="s">
        <v>1040</v>
      </c>
      <c r="P65" s="1888" t="s">
        <v>1528</v>
      </c>
      <c r="Q65" s="1889">
        <f ca="1">C40+J29</f>
        <v>16860504</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-231386</v>
      </c>
      <c r="D67" s="1185" t="s">
        <v>1464</v>
      </c>
      <c r="E67" s="1190"/>
      <c r="F67" s="1191"/>
      <c r="O67" s="1897" t="s">
        <v>1042</v>
      </c>
      <c r="P67" s="1888" t="s">
        <v>1562</v>
      </c>
      <c r="Q67" s="1936">
        <f ca="1">L51</f>
        <v>1855660</v>
      </c>
      <c r="R67" s="1889" t="s">
        <v>1582</v>
      </c>
    </row>
    <row r="68" spans="1:18" s="1845" customFormat="1" ht="16.5" thickBot="1">
      <c r="A68" s="1169" t="s">
        <v>1032</v>
      </c>
      <c r="B68" s="1170" t="s">
        <v>1485</v>
      </c>
      <c r="C68" s="346">
        <f ca="1">ROUND(C67*(1-((1+F70)/(1+F68))^F69)/(F68-F70),0)</f>
        <v>-4770970</v>
      </c>
      <c r="D68" s="1187" t="s">
        <v>1469</v>
      </c>
      <c r="E68" s="1172" t="s">
        <v>1470</v>
      </c>
      <c r="F68" s="357">
        <f ca="1">F40</f>
        <v>0.05</v>
      </c>
      <c r="O68" s="1897" t="s">
        <v>1043</v>
      </c>
      <c r="P68" s="1937" t="s">
        <v>1583</v>
      </c>
      <c r="Q68" s="1889">
        <f ca="1">ROUND(Q69-Q70*Q71,0)</f>
        <v>108647</v>
      </c>
      <c r="R68" s="1889" t="s">
        <v>1051</v>
      </c>
    </row>
    <row r="69" spans="1:18" s="1845" customFormat="1" ht="13.5" thickBot="1">
      <c r="A69" s="1173"/>
      <c r="B69" s="1174"/>
      <c r="C69" s="351"/>
      <c r="D69" s="1192" t="s">
        <v>1473</v>
      </c>
      <c r="E69" s="1172" t="s">
        <v>1474</v>
      </c>
      <c r="F69" s="379">
        <f ca="1">F41</f>
        <v>33.25</v>
      </c>
      <c r="O69" s="1897" t="s">
        <v>1048</v>
      </c>
      <c r="P69" s="1937" t="s">
        <v>1584</v>
      </c>
      <c r="Q69" s="1889">
        <f ca="1">C39</f>
        <v>817713</v>
      </c>
      <c r="R69" s="1889" t="s">
        <v>1529</v>
      </c>
    </row>
    <row r="70" spans="1:18" s="1845" customFormat="1" ht="13.5" thickBot="1">
      <c r="A70" s="1176"/>
      <c r="B70" s="1177"/>
      <c r="C70" s="355"/>
      <c r="D70" s="1188"/>
      <c r="E70" s="1172" t="s">
        <v>1477</v>
      </c>
      <c r="F70" s="1278">
        <f ca="1">F42</f>
        <v>0.02</v>
      </c>
      <c r="O70" s="1897" t="s">
        <v>1049</v>
      </c>
      <c r="P70" s="1937" t="s">
        <v>1585</v>
      </c>
      <c r="Q70" s="1889">
        <f ca="1">C13</f>
        <v>8863329</v>
      </c>
      <c r="R70" s="1889" t="s">
        <v>1529</v>
      </c>
    </row>
    <row r="71" spans="1:18" s="1845" customFormat="1" ht="13.5" thickBot="1">
      <c r="A71" s="1193" t="s">
        <v>1033</v>
      </c>
      <c r="B71" s="1194" t="s">
        <v>1487</v>
      </c>
      <c r="C71" s="382">
        <f ca="1">ROUND(C68/F71,0)</f>
        <v>-2079</v>
      </c>
      <c r="D71" s="1195" t="s">
        <v>1488</v>
      </c>
      <c r="E71" s="1196" t="s">
        <v>1489</v>
      </c>
      <c r="F71" s="385">
        <f ca="1">F43</f>
        <v>2294.6900000000005</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709066</v>
      </c>
      <c r="D75" s="1845"/>
      <c r="E75" s="1845"/>
      <c r="F75" s="1845"/>
      <c r="K75" s="1871"/>
      <c r="L75" s="1845"/>
      <c r="O75" s="1887" t="s">
        <v>1046</v>
      </c>
      <c r="P75" s="1888" t="s">
        <v>1549</v>
      </c>
      <c r="Q75" s="1889">
        <f ca="1">Q65+Q66</f>
        <v>16860504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0.13300000000000001</v>
      </c>
    </row>
    <row r="80" spans="1:18">
      <c r="B80" s="386" t="s">
        <v>1511</v>
      </c>
      <c r="C80" s="318">
        <f ca="1">ROUND(C75/C39,3)</f>
        <v>0.86699999999999999</v>
      </c>
    </row>
    <row r="81" spans="2:3">
      <c r="B81" s="314" t="s">
        <v>1512</v>
      </c>
      <c r="C81" s="282"/>
    </row>
    <row r="82" spans="2:3">
      <c r="B82" s="317" t="s">
        <v>1513</v>
      </c>
      <c r="C82" s="319">
        <f ca="1">1-C83</f>
        <v>0.47399999999999998</v>
      </c>
    </row>
    <row r="83" spans="2:3">
      <c r="B83" s="317" t="s">
        <v>1514</v>
      </c>
      <c r="C83" s="318">
        <f ca="1">ROUND(C13/C40,3)</f>
        <v>0.52600000000000002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2644.5600000000004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10" t="s">
        <v>2646</v>
      </c>
      <c r="AC4" s="3209" t="s">
        <v>2647</v>
      </c>
    </row>
    <row r="5" spans="1:29" ht="15">
      <c r="A5" s="404"/>
      <c r="B5" s="405"/>
      <c r="C5" s="3261" t="s">
        <v>2540</v>
      </c>
      <c r="D5" s="3231"/>
      <c r="E5" s="3262" t="s">
        <v>2541</v>
      </c>
      <c r="F5" s="3238"/>
      <c r="G5" s="3261" t="s">
        <v>2542</v>
      </c>
      <c r="H5" s="3231"/>
      <c r="I5" s="3261" t="s">
        <v>2543</v>
      </c>
      <c r="J5" s="3231"/>
      <c r="K5" s="610"/>
      <c r="L5" s="1133"/>
      <c r="M5" s="1134"/>
      <c r="N5" s="1134"/>
      <c r="O5" s="1134"/>
      <c r="P5" s="3218"/>
      <c r="Q5" s="3219"/>
      <c r="R5" s="3224"/>
      <c r="S5" s="3225"/>
      <c r="T5" s="3224"/>
      <c r="U5" s="3225"/>
      <c r="V5" s="3207"/>
      <c r="W5" s="3207"/>
      <c r="X5" s="1816"/>
      <c r="Y5" s="3224"/>
      <c r="Z5" s="3225"/>
      <c r="AA5" s="3210"/>
      <c r="AB5" s="3210"/>
      <c r="AC5" s="3210"/>
    </row>
    <row r="6" spans="1:29" ht="15.75" thickBot="1">
      <c r="A6" s="406"/>
      <c r="B6" s="407"/>
      <c r="C6" s="3228" t="s">
        <v>2544</v>
      </c>
      <c r="D6" s="3229"/>
      <c r="E6" s="3235" t="s">
        <v>2544</v>
      </c>
      <c r="F6" s="3236"/>
      <c r="G6" s="3228" t="s">
        <v>2544</v>
      </c>
      <c r="H6" s="3229"/>
      <c r="I6" s="3228" t="s">
        <v>2544</v>
      </c>
      <c r="J6" s="3229"/>
      <c r="K6" s="610" t="s">
        <v>2545</v>
      </c>
      <c r="L6" s="1133"/>
      <c r="M6" s="1134"/>
      <c r="N6" s="1134"/>
      <c r="O6" s="1134"/>
      <c r="P6" s="3220"/>
      <c r="Q6" s="3221"/>
      <c r="R6" s="3224"/>
      <c r="S6" s="3225"/>
      <c r="T6" s="3226"/>
      <c r="U6" s="3227"/>
      <c r="V6" s="3207"/>
      <c r="W6" s="3207"/>
      <c r="X6" s="1816"/>
      <c r="Y6" s="3226"/>
      <c r="Z6" s="3227"/>
      <c r="AA6" s="3211"/>
      <c r="AB6" s="3211"/>
      <c r="AC6" s="3211"/>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2" t="s">
        <v>2547</v>
      </c>
      <c r="Q7" s="3234"/>
      <c r="R7" s="770" t="s">
        <v>17</v>
      </c>
      <c r="S7" s="771">
        <f t="shared" ref="S7:S15" si="0">F7</f>
        <v>0</v>
      </c>
      <c r="T7" s="770" t="s">
        <v>17</v>
      </c>
      <c r="U7" s="771">
        <f t="shared" ref="U7:U15" si="1">H7</f>
        <v>0</v>
      </c>
      <c r="V7" s="770" t="s">
        <v>17</v>
      </c>
      <c r="W7" s="771">
        <f t="shared" ref="W7:W15" si="2">J7</f>
        <v>0</v>
      </c>
      <c r="X7" s="772"/>
      <c r="Y7" s="3232" t="s">
        <v>2547</v>
      </c>
      <c r="Z7" s="323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2" t="s">
        <v>2550</v>
      </c>
      <c r="Q8" s="3233"/>
      <c r="R8" s="770" t="s">
        <v>17</v>
      </c>
      <c r="S8" s="771">
        <f t="shared" si="0"/>
        <v>0</v>
      </c>
      <c r="T8" s="770" t="s">
        <v>17</v>
      </c>
      <c r="U8" s="771">
        <f t="shared" si="1"/>
        <v>0</v>
      </c>
      <c r="V8" s="770" t="s">
        <v>17</v>
      </c>
      <c r="W8" s="771">
        <f t="shared" si="2"/>
        <v>0</v>
      </c>
      <c r="X8" s="772"/>
      <c r="Y8" s="3232" t="s">
        <v>2550</v>
      </c>
      <c r="Z8" s="323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3"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2558</v>
      </c>
      <c r="Q15" s="1813" t="str">
        <f t="shared" si="6"/>
        <v>产业集聚程度</v>
      </c>
      <c r="R15" s="774" t="s">
        <v>17</v>
      </c>
      <c r="S15" s="775">
        <f t="shared" si="0"/>
        <v>100</v>
      </c>
      <c r="T15" s="774" t="s">
        <v>17</v>
      </c>
      <c r="U15" s="775">
        <f t="shared" si="1"/>
        <v>100</v>
      </c>
      <c r="V15" s="774" t="s">
        <v>17</v>
      </c>
      <c r="W15" s="775">
        <f t="shared" si="2"/>
        <v>100</v>
      </c>
      <c r="X15" s="1816"/>
      <c r="Y15" s="3200"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1"/>
      <c r="Q16" s="1813"/>
      <c r="R16" s="774"/>
      <c r="S16" s="775"/>
      <c r="T16" s="774"/>
      <c r="U16" s="775"/>
      <c r="V16" s="774"/>
      <c r="W16" s="775"/>
      <c r="X16" s="1816"/>
      <c r="Y16" s="3201"/>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1"/>
      <c r="Q18" s="1813"/>
      <c r="R18" s="774"/>
      <c r="S18" s="775"/>
      <c r="T18" s="774"/>
      <c r="U18" s="775"/>
      <c r="V18" s="774"/>
      <c r="W18" s="775"/>
      <c r="X18" s="1816"/>
      <c r="Y18" s="3201"/>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1"/>
      <c r="Q20" s="1813"/>
      <c r="R20" s="774"/>
      <c r="S20" s="775"/>
      <c r="T20" s="774"/>
      <c r="U20" s="775"/>
      <c r="V20" s="774"/>
      <c r="W20" s="775"/>
      <c r="X20" s="1816"/>
      <c r="Y20" s="3201"/>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1"/>
      <c r="Q22" s="1813"/>
      <c r="R22" s="774"/>
      <c r="S22" s="775"/>
      <c r="T22" s="774"/>
      <c r="U22" s="775"/>
      <c r="V22" s="774"/>
      <c r="W22" s="775"/>
      <c r="X22" s="1816"/>
      <c r="Y22" s="3201"/>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3" t="str">
        <f>B23</f>
        <v>环境质量</v>
      </c>
      <c r="R23" s="774" t="s">
        <v>17</v>
      </c>
      <c r="S23" s="775">
        <f>F23</f>
        <v>100</v>
      </c>
      <c r="T23" s="774" t="s">
        <v>17</v>
      </c>
      <c r="U23" s="775">
        <f>H23</f>
        <v>100</v>
      </c>
      <c r="V23" s="774" t="s">
        <v>17</v>
      </c>
      <c r="W23" s="775">
        <f>J23</f>
        <v>100</v>
      </c>
      <c r="X23" s="1816"/>
      <c r="Y23" s="3201"/>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1"/>
      <c r="Q24" s="1813"/>
      <c r="R24" s="774"/>
      <c r="S24" s="775"/>
      <c r="T24" s="774"/>
      <c r="U24" s="775"/>
      <c r="V24" s="774"/>
      <c r="W24" s="775"/>
      <c r="X24" s="1816"/>
      <c r="Y24" s="320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3">
        <f>B25</f>
        <v>111</v>
      </c>
      <c r="R25" s="774" t="s">
        <v>17</v>
      </c>
      <c r="S25" s="775">
        <f>F25</f>
        <v>100</v>
      </c>
      <c r="T25" s="774" t="s">
        <v>17</v>
      </c>
      <c r="U25" s="775">
        <f>H25</f>
        <v>100</v>
      </c>
      <c r="V25" s="774" t="s">
        <v>17</v>
      </c>
      <c r="W25" s="775">
        <f>J25</f>
        <v>100</v>
      </c>
      <c r="X25" s="1816"/>
      <c r="Y25" s="320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3">
        <f t="shared" ref="Q26:Q40" si="11">B26</f>
        <v>111</v>
      </c>
      <c r="R26" s="774" t="s">
        <v>17</v>
      </c>
      <c r="S26" s="775">
        <f>F26</f>
        <v>100</v>
      </c>
      <c r="T26" s="774" t="s">
        <v>17</v>
      </c>
      <c r="U26" s="775">
        <f>H26</f>
        <v>100</v>
      </c>
      <c r="V26" s="774" t="s">
        <v>17</v>
      </c>
      <c r="W26" s="775">
        <f>J26</f>
        <v>100</v>
      </c>
      <c r="X26" s="1816"/>
      <c r="Y26" s="320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8">
        <f t="shared" si="11"/>
        <v>111</v>
      </c>
      <c r="R27" s="770" t="s">
        <v>17</v>
      </c>
      <c r="S27" s="771">
        <f>F27</f>
        <v>100</v>
      </c>
      <c r="T27" s="770" t="s">
        <v>17</v>
      </c>
      <c r="U27" s="771">
        <f>H27</f>
        <v>100</v>
      </c>
      <c r="V27" s="770" t="s">
        <v>17</v>
      </c>
      <c r="W27" s="771">
        <f>J27</f>
        <v>100</v>
      </c>
      <c r="X27" s="772"/>
      <c r="Y27" s="320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3">
        <f t="shared" si="11"/>
        <v>111</v>
      </c>
      <c r="R28" s="774" t="s">
        <v>17</v>
      </c>
      <c r="S28" s="775">
        <f t="shared" ref="S28:S40" si="12">F28</f>
        <v>100</v>
      </c>
      <c r="T28" s="774" t="s">
        <v>17</v>
      </c>
      <c r="U28" s="775">
        <f t="shared" ref="U28:U40" si="13">H28</f>
        <v>100</v>
      </c>
      <c r="V28" s="774" t="s">
        <v>17</v>
      </c>
      <c r="W28" s="775">
        <f t="shared" ref="W28:W40" si="14">J28</f>
        <v>100</v>
      </c>
      <c r="X28" s="1816"/>
      <c r="Y28" s="3201"/>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8" t="s">
        <v>2563</v>
      </c>
      <c r="Q29" s="1813" t="str">
        <f t="shared" si="11"/>
        <v>建筑类型</v>
      </c>
      <c r="R29" s="774" t="s">
        <v>17</v>
      </c>
      <c r="S29" s="775">
        <f t="shared" si="12"/>
        <v>100</v>
      </c>
      <c r="T29" s="774" t="s">
        <v>17</v>
      </c>
      <c r="U29" s="775">
        <f t="shared" si="13"/>
        <v>100</v>
      </c>
      <c r="V29" s="774" t="s">
        <v>17</v>
      </c>
      <c r="W29" s="775">
        <f t="shared" si="14"/>
        <v>100</v>
      </c>
      <c r="X29" s="1816"/>
      <c r="Y29" s="3205"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5"/>
      <c r="Q31" s="1813" t="str">
        <f t="shared" si="11"/>
        <v>建筑结构</v>
      </c>
      <c r="R31" s="774" t="s">
        <v>17</v>
      </c>
      <c r="S31" s="775">
        <f t="shared" si="12"/>
        <v>100</v>
      </c>
      <c r="T31" s="774" t="s">
        <v>17</v>
      </c>
      <c r="U31" s="775">
        <f t="shared" si="13"/>
        <v>100</v>
      </c>
      <c r="V31" s="774" t="s">
        <v>17</v>
      </c>
      <c r="W31" s="775">
        <f t="shared" si="14"/>
        <v>100</v>
      </c>
      <c r="X31" s="1816"/>
      <c r="Y31" s="3205"/>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5"/>
      <c r="Q32" s="1813" t="str">
        <f t="shared" si="11"/>
        <v>公共部分装修</v>
      </c>
      <c r="R32" s="774" t="s">
        <v>17</v>
      </c>
      <c r="S32" s="775">
        <f t="shared" si="12"/>
        <v>100</v>
      </c>
      <c r="T32" s="774" t="s">
        <v>17</v>
      </c>
      <c r="U32" s="775">
        <f t="shared" si="13"/>
        <v>100</v>
      </c>
      <c r="V32" s="774" t="s">
        <v>17</v>
      </c>
      <c r="W32" s="775">
        <f t="shared" si="14"/>
        <v>100</v>
      </c>
      <c r="X32" s="1816"/>
      <c r="Y32" s="3205"/>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5"/>
      <c r="Q33" s="1813" t="str">
        <f t="shared" si="11"/>
        <v>成新度</v>
      </c>
      <c r="R33" s="774" t="s">
        <v>17</v>
      </c>
      <c r="S33" s="775" t="e">
        <f t="shared" si="12"/>
        <v>#N/A</v>
      </c>
      <c r="T33" s="774" t="s">
        <v>17</v>
      </c>
      <c r="U33" s="775" t="e">
        <f t="shared" si="13"/>
        <v>#N/A</v>
      </c>
      <c r="V33" s="774" t="s">
        <v>17</v>
      </c>
      <c r="W33" s="775" t="e">
        <f t="shared" si="14"/>
        <v>#N/A</v>
      </c>
      <c r="X33" s="1816"/>
      <c r="Y33" s="3205"/>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5"/>
      <c r="Q34" s="1798"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5" t="s">
        <v>2563</v>
      </c>
      <c r="Q35" s="1813" t="str">
        <f t="shared" si="11"/>
        <v>市政基础设施</v>
      </c>
      <c r="R35" s="774" t="s">
        <v>17</v>
      </c>
      <c r="S35" s="775">
        <f t="shared" si="12"/>
        <v>100</v>
      </c>
      <c r="T35" s="774" t="s">
        <v>17</v>
      </c>
      <c r="U35" s="775">
        <f t="shared" si="13"/>
        <v>100</v>
      </c>
      <c r="V35" s="774" t="s">
        <v>17</v>
      </c>
      <c r="W35" s="775">
        <f t="shared" si="14"/>
        <v>100</v>
      </c>
      <c r="X35" s="1816"/>
      <c r="Y35" s="3205"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5"/>
      <c r="Q36" s="1813" t="str">
        <f t="shared" si="11"/>
        <v>内部装修</v>
      </c>
      <c r="R36" s="774" t="s">
        <v>17</v>
      </c>
      <c r="S36" s="775">
        <f t="shared" si="12"/>
        <v>100</v>
      </c>
      <c r="T36" s="774" t="s">
        <v>17</v>
      </c>
      <c r="U36" s="775">
        <f t="shared" si="13"/>
        <v>100</v>
      </c>
      <c r="V36" s="774" t="s">
        <v>17</v>
      </c>
      <c r="W36" s="775">
        <f t="shared" si="14"/>
        <v>100</v>
      </c>
      <c r="X36" s="1816"/>
      <c r="Y36" s="3205"/>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5"/>
      <c r="Q37" s="1813" t="str">
        <f t="shared" si="11"/>
        <v>内部装修状况</v>
      </c>
      <c r="R37" s="774" t="s">
        <v>17</v>
      </c>
      <c r="S37" s="775">
        <f t="shared" si="12"/>
        <v>100</v>
      </c>
      <c r="T37" s="774" t="s">
        <v>17</v>
      </c>
      <c r="U37" s="775">
        <f t="shared" si="13"/>
        <v>100</v>
      </c>
      <c r="V37" s="774" t="s">
        <v>17</v>
      </c>
      <c r="W37" s="775">
        <f t="shared" si="14"/>
        <v>100</v>
      </c>
      <c r="X37" s="1816"/>
      <c r="Y37" s="320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5"/>
      <c r="Q39" s="1813">
        <f t="shared" si="11"/>
        <v>111</v>
      </c>
      <c r="R39" s="774" t="s">
        <v>17</v>
      </c>
      <c r="S39" s="775">
        <f t="shared" si="12"/>
        <v>100</v>
      </c>
      <c r="T39" s="774" t="s">
        <v>17</v>
      </c>
      <c r="U39" s="775">
        <f t="shared" si="13"/>
        <v>100</v>
      </c>
      <c r="V39" s="774" t="s">
        <v>17</v>
      </c>
      <c r="W39" s="775">
        <f t="shared" si="14"/>
        <v>100</v>
      </c>
      <c r="X39" s="1816"/>
      <c r="Y39" s="3205"/>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6"/>
      <c r="Q40" s="1813">
        <f t="shared" si="11"/>
        <v>111</v>
      </c>
      <c r="R40" s="774" t="s">
        <v>17</v>
      </c>
      <c r="S40" s="775">
        <f t="shared" si="12"/>
        <v>100</v>
      </c>
      <c r="T40" s="774" t="s">
        <v>17</v>
      </c>
      <c r="U40" s="775">
        <f t="shared" si="13"/>
        <v>100</v>
      </c>
      <c r="V40" s="774" t="s">
        <v>17</v>
      </c>
      <c r="W40" s="775">
        <f t="shared" si="14"/>
        <v>100</v>
      </c>
      <c r="X40" s="1816"/>
      <c r="Y40" s="3206"/>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93" t="str">
        <f>A41</f>
        <v>成交单价（元/平方米）</v>
      </c>
      <c r="Q41" s="3193"/>
      <c r="R41" s="3194">
        <f>E41</f>
        <v>0</v>
      </c>
      <c r="S41" s="3194"/>
      <c r="T41" s="3194">
        <f>G41</f>
        <v>0</v>
      </c>
      <c r="U41" s="3194"/>
      <c r="V41" s="3194">
        <f>I41</f>
        <v>0</v>
      </c>
      <c r="W41" s="319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10" t="s">
        <v>2646</v>
      </c>
      <c r="AC4" s="3209" t="s">
        <v>2647</v>
      </c>
    </row>
    <row r="5" spans="1:29" ht="15">
      <c r="A5" s="404"/>
      <c r="B5" s="405"/>
      <c r="C5" s="3261" t="s">
        <v>2540</v>
      </c>
      <c r="D5" s="3231"/>
      <c r="E5" s="3262" t="s">
        <v>2541</v>
      </c>
      <c r="F5" s="3238"/>
      <c r="G5" s="3261" t="s">
        <v>2542</v>
      </c>
      <c r="H5" s="3231"/>
      <c r="I5" s="3261" t="s">
        <v>2543</v>
      </c>
      <c r="J5" s="3231"/>
      <c r="K5" s="610"/>
      <c r="L5" s="1133"/>
      <c r="M5" s="1134"/>
      <c r="N5" s="1134"/>
      <c r="O5" s="1134"/>
      <c r="P5" s="3218"/>
      <c r="Q5" s="3219"/>
      <c r="R5" s="3224"/>
      <c r="S5" s="3225"/>
      <c r="T5" s="3224"/>
      <c r="U5" s="3225"/>
      <c r="V5" s="3207"/>
      <c r="W5" s="3207"/>
      <c r="X5" s="1816"/>
      <c r="Y5" s="3224"/>
      <c r="Z5" s="3225"/>
      <c r="AA5" s="3210"/>
      <c r="AB5" s="3210"/>
      <c r="AC5" s="3210"/>
    </row>
    <row r="6" spans="1:29" ht="15.75" thickBot="1">
      <c r="A6" s="406"/>
      <c r="B6" s="407"/>
      <c r="C6" s="3228" t="s">
        <v>2544</v>
      </c>
      <c r="D6" s="3229"/>
      <c r="E6" s="3235" t="s">
        <v>2544</v>
      </c>
      <c r="F6" s="3236"/>
      <c r="G6" s="3228" t="s">
        <v>2544</v>
      </c>
      <c r="H6" s="3229"/>
      <c r="I6" s="3228" t="s">
        <v>2544</v>
      </c>
      <c r="J6" s="3229"/>
      <c r="K6" s="610" t="s">
        <v>2545</v>
      </c>
      <c r="L6" s="1133"/>
      <c r="M6" s="1134"/>
      <c r="N6" s="1134"/>
      <c r="O6" s="1134"/>
      <c r="P6" s="3220"/>
      <c r="Q6" s="3221"/>
      <c r="R6" s="3224"/>
      <c r="S6" s="3225"/>
      <c r="T6" s="3226"/>
      <c r="U6" s="3227"/>
      <c r="V6" s="3207"/>
      <c r="W6" s="3207"/>
      <c r="X6" s="1816"/>
      <c r="Y6" s="3226"/>
      <c r="Z6" s="3227"/>
      <c r="AA6" s="3211"/>
      <c r="AB6" s="3211"/>
      <c r="AC6" s="3211"/>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2" t="s">
        <v>2547</v>
      </c>
      <c r="Q7" s="3234"/>
      <c r="R7" s="770" t="s">
        <v>17</v>
      </c>
      <c r="S7" s="771">
        <f t="shared" ref="S7:S14" si="0">F7</f>
        <v>0</v>
      </c>
      <c r="T7" s="770" t="s">
        <v>17</v>
      </c>
      <c r="U7" s="771">
        <f t="shared" ref="U7:U14" si="1">H7</f>
        <v>0</v>
      </c>
      <c r="V7" s="770" t="s">
        <v>17</v>
      </c>
      <c r="W7" s="771">
        <f t="shared" ref="W7:W14" si="2">J7</f>
        <v>0</v>
      </c>
      <c r="X7" s="772"/>
      <c r="Y7" s="3232" t="s">
        <v>2547</v>
      </c>
      <c r="Z7" s="323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2" t="s">
        <v>2550</v>
      </c>
      <c r="Q8" s="3233"/>
      <c r="R8" s="770" t="s">
        <v>17</v>
      </c>
      <c r="S8" s="771">
        <f t="shared" si="0"/>
        <v>0</v>
      </c>
      <c r="T8" s="770" t="s">
        <v>17</v>
      </c>
      <c r="U8" s="771">
        <f t="shared" si="1"/>
        <v>0</v>
      </c>
      <c r="V8" s="770" t="s">
        <v>17</v>
      </c>
      <c r="W8" s="771">
        <f t="shared" si="2"/>
        <v>0</v>
      </c>
      <c r="X8" s="772"/>
      <c r="Y8" s="3232" t="s">
        <v>2550</v>
      </c>
      <c r="Z8" s="323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3" t="s">
        <v>2553</v>
      </c>
      <c r="Q9" s="1798" t="str">
        <f t="shared" ref="Q9:Q14" si="6">B9</f>
        <v>用途</v>
      </c>
      <c r="R9" s="770" t="s">
        <v>17</v>
      </c>
      <c r="S9" s="771">
        <f t="shared" si="0"/>
        <v>100</v>
      </c>
      <c r="T9" s="770" t="s">
        <v>17</v>
      </c>
      <c r="U9" s="771">
        <f t="shared" si="1"/>
        <v>100</v>
      </c>
      <c r="V9" s="770" t="s">
        <v>17</v>
      </c>
      <c r="W9" s="771">
        <f t="shared" si="2"/>
        <v>100</v>
      </c>
      <c r="X9" s="772"/>
      <c r="Y9" s="304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3"/>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2558</v>
      </c>
      <c r="Q14" s="1813" t="str">
        <f t="shared" si="6"/>
        <v>交通便捷度</v>
      </c>
      <c r="R14" s="774" t="s">
        <v>17</v>
      </c>
      <c r="S14" s="775">
        <f t="shared" si="0"/>
        <v>100</v>
      </c>
      <c r="T14" s="774" t="s">
        <v>17</v>
      </c>
      <c r="U14" s="775">
        <f t="shared" si="1"/>
        <v>100</v>
      </c>
      <c r="V14" s="774" t="s">
        <v>17</v>
      </c>
      <c r="W14" s="775">
        <f t="shared" si="2"/>
        <v>100</v>
      </c>
      <c r="X14" s="1816"/>
      <c r="Y14" s="3200"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1"/>
      <c r="Q15" s="1813"/>
      <c r="R15" s="774"/>
      <c r="S15" s="775"/>
      <c r="T15" s="774"/>
      <c r="U15" s="775"/>
      <c r="V15" s="774"/>
      <c r="W15" s="775"/>
      <c r="X15" s="1816"/>
      <c r="Y15" s="3201"/>
      <c r="Z15" s="1817"/>
      <c r="AA15" s="1814">
        <v>1</v>
      </c>
      <c r="AB15" s="1814">
        <v>1</v>
      </c>
      <c r="AC15" s="1814">
        <v>1</v>
      </c>
    </row>
    <row r="16" spans="1:29" ht="42.75">
      <c r="A16" s="404"/>
      <c r="B16" s="631" t="s">
        <v>2686</v>
      </c>
      <c r="C16" s="2610"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1"/>
      <c r="Q17" s="1813"/>
      <c r="R17" s="774"/>
      <c r="S17" s="775"/>
      <c r="T17" s="774"/>
      <c r="U17" s="775"/>
      <c r="V17" s="774"/>
      <c r="W17" s="775"/>
      <c r="X17" s="1816"/>
      <c r="Y17" s="3201"/>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1"/>
      <c r="Q19" s="1813"/>
      <c r="R19" s="774"/>
      <c r="S19" s="775"/>
      <c r="T19" s="774"/>
      <c r="U19" s="775"/>
      <c r="V19" s="774"/>
      <c r="W19" s="775"/>
      <c r="X19" s="1816"/>
      <c r="Y19" s="3201"/>
      <c r="Z19" s="1817"/>
      <c r="AA19" s="1814">
        <v>1</v>
      </c>
      <c r="AB19" s="1814">
        <v>1</v>
      </c>
      <c r="AC19" s="1814">
        <v>1</v>
      </c>
    </row>
    <row r="20" spans="1:29" ht="57">
      <c r="A20" s="404"/>
      <c r="B20" s="631" t="s">
        <v>2708</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1"/>
      <c r="Q21" s="1813"/>
      <c r="R21" s="774"/>
      <c r="S21" s="775"/>
      <c r="T21" s="774"/>
      <c r="U21" s="775"/>
      <c r="V21" s="774"/>
      <c r="W21" s="775"/>
      <c r="X21" s="1816"/>
      <c r="Y21" s="3201"/>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3">
        <f t="shared" ref="Q24:Q36" si="11">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8">
        <f t="shared" si="11"/>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5"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5"/>
      <c r="Q28" s="1813" t="str">
        <f t="shared" si="11"/>
        <v>公共部分装修</v>
      </c>
      <c r="R28" s="774" t="s">
        <v>17</v>
      </c>
      <c r="S28" s="775">
        <f t="shared" si="12"/>
        <v>100</v>
      </c>
      <c r="T28" s="774" t="s">
        <v>17</v>
      </c>
      <c r="U28" s="775">
        <f t="shared" si="13"/>
        <v>100</v>
      </c>
      <c r="V28" s="774" t="s">
        <v>17</v>
      </c>
      <c r="W28" s="775">
        <f t="shared" si="14"/>
        <v>100</v>
      </c>
      <c r="X28" s="1816"/>
      <c r="Y28" s="3205"/>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5"/>
      <c r="Q29" s="1813" t="str">
        <f t="shared" si="11"/>
        <v>成新率</v>
      </c>
      <c r="R29" s="774" t="s">
        <v>17</v>
      </c>
      <c r="S29" s="775" t="e">
        <f t="shared" si="12"/>
        <v>#N/A</v>
      </c>
      <c r="T29" s="774" t="s">
        <v>17</v>
      </c>
      <c r="U29" s="775" t="e">
        <f t="shared" si="13"/>
        <v>#N/A</v>
      </c>
      <c r="V29" s="774" t="s">
        <v>17</v>
      </c>
      <c r="W29" s="775" t="e">
        <f t="shared" si="14"/>
        <v>#N/A</v>
      </c>
      <c r="X29" s="1816"/>
      <c r="Y29" s="3205"/>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5"/>
      <c r="Q30" s="1813" t="str">
        <f t="shared" si="11"/>
        <v>物业等级</v>
      </c>
      <c r="R30" s="774" t="s">
        <v>17</v>
      </c>
      <c r="S30" s="775">
        <f t="shared" si="12"/>
        <v>100</v>
      </c>
      <c r="T30" s="774" t="s">
        <v>17</v>
      </c>
      <c r="U30" s="775">
        <f t="shared" si="13"/>
        <v>100</v>
      </c>
      <c r="V30" s="774" t="s">
        <v>17</v>
      </c>
      <c r="W30" s="775">
        <f t="shared" si="14"/>
        <v>100</v>
      </c>
      <c r="X30" s="1816"/>
      <c r="Y30" s="3205"/>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5"/>
      <c r="Q31" s="1798"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5" t="s">
        <v>2563</v>
      </c>
      <c r="Q32" s="1813" t="str">
        <f t="shared" si="11"/>
        <v>车位类型</v>
      </c>
      <c r="R32" s="774" t="s">
        <v>17</v>
      </c>
      <c r="S32" s="775">
        <f t="shared" si="12"/>
        <v>100</v>
      </c>
      <c r="T32" s="774" t="s">
        <v>17</v>
      </c>
      <c r="U32" s="775">
        <f t="shared" si="13"/>
        <v>100</v>
      </c>
      <c r="V32" s="774" t="s">
        <v>17</v>
      </c>
      <c r="W32" s="775">
        <f t="shared" si="14"/>
        <v>100</v>
      </c>
      <c r="X32" s="1816"/>
      <c r="Y32" s="3205"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5"/>
      <c r="Q33" s="1813" t="str">
        <f t="shared" si="11"/>
        <v>是否直接入户</v>
      </c>
      <c r="R33" s="774" t="s">
        <v>17</v>
      </c>
      <c r="S33" s="775">
        <f t="shared" si="12"/>
        <v>100</v>
      </c>
      <c r="T33" s="774" t="s">
        <v>17</v>
      </c>
      <c r="U33" s="775">
        <f t="shared" si="13"/>
        <v>100</v>
      </c>
      <c r="V33" s="774" t="s">
        <v>17</v>
      </c>
      <c r="W33" s="775">
        <f t="shared" si="14"/>
        <v>100</v>
      </c>
      <c r="X33" s="1816"/>
      <c r="Y33" s="320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5"/>
      <c r="Q36" s="1813">
        <f t="shared" si="11"/>
        <v>111</v>
      </c>
      <c r="R36" s="774" t="s">
        <v>17</v>
      </c>
      <c r="S36" s="775">
        <f t="shared" si="12"/>
        <v>100</v>
      </c>
      <c r="T36" s="774" t="s">
        <v>17</v>
      </c>
      <c r="U36" s="775">
        <f t="shared" si="13"/>
        <v>100</v>
      </c>
      <c r="V36" s="774" t="s">
        <v>17</v>
      </c>
      <c r="W36" s="775">
        <f t="shared" si="14"/>
        <v>100</v>
      </c>
      <c r="X36" s="1816"/>
      <c r="Y36" s="3205"/>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193" t="str">
        <f>A37</f>
        <v>成交单价</v>
      </c>
      <c r="Q37" s="3193"/>
      <c r="R37" s="3194">
        <f>E37</f>
        <v>0</v>
      </c>
      <c r="S37" s="3194"/>
      <c r="T37" s="3194">
        <f>G37</f>
        <v>0</v>
      </c>
      <c r="U37" s="3194"/>
      <c r="V37" s="3194">
        <f>I37</f>
        <v>0</v>
      </c>
      <c r="W37" s="319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10" t="s">
        <v>2646</v>
      </c>
      <c r="AC4" s="3209" t="s">
        <v>2647</v>
      </c>
    </row>
    <row r="5" spans="1:29" ht="15">
      <c r="A5" s="404"/>
      <c r="B5" s="405"/>
      <c r="C5" s="3261" t="s">
        <v>2540</v>
      </c>
      <c r="D5" s="3231"/>
      <c r="E5" s="3262" t="s">
        <v>2541</v>
      </c>
      <c r="F5" s="3238"/>
      <c r="G5" s="3261" t="s">
        <v>2542</v>
      </c>
      <c r="H5" s="3231"/>
      <c r="I5" s="3261" t="s">
        <v>2543</v>
      </c>
      <c r="J5" s="3231"/>
      <c r="K5" s="610"/>
      <c r="L5" s="1133"/>
      <c r="M5" s="1134"/>
      <c r="N5" s="1134"/>
      <c r="O5" s="1134"/>
      <c r="P5" s="3218"/>
      <c r="Q5" s="3219"/>
      <c r="R5" s="3224"/>
      <c r="S5" s="3225"/>
      <c r="T5" s="3224"/>
      <c r="U5" s="3225"/>
      <c r="V5" s="3207"/>
      <c r="W5" s="3207"/>
      <c r="X5" s="1816"/>
      <c r="Y5" s="3224"/>
      <c r="Z5" s="3225"/>
      <c r="AA5" s="3210"/>
      <c r="AB5" s="3210"/>
      <c r="AC5" s="3210"/>
    </row>
    <row r="6" spans="1:29" ht="15.75" thickBot="1">
      <c r="A6" s="406"/>
      <c r="B6" s="407"/>
      <c r="C6" s="3228" t="s">
        <v>2544</v>
      </c>
      <c r="D6" s="3229"/>
      <c r="E6" s="3235" t="s">
        <v>2544</v>
      </c>
      <c r="F6" s="3236"/>
      <c r="G6" s="3228" t="s">
        <v>2544</v>
      </c>
      <c r="H6" s="3229"/>
      <c r="I6" s="3228" t="s">
        <v>2544</v>
      </c>
      <c r="J6" s="3229"/>
      <c r="K6" s="610" t="s">
        <v>2545</v>
      </c>
      <c r="L6" s="1133"/>
      <c r="M6" s="1134"/>
      <c r="N6" s="1134"/>
      <c r="O6" s="1134"/>
      <c r="P6" s="3220"/>
      <c r="Q6" s="3221"/>
      <c r="R6" s="3224"/>
      <c r="S6" s="3225"/>
      <c r="T6" s="3226"/>
      <c r="U6" s="3227"/>
      <c r="V6" s="3207"/>
      <c r="W6" s="3207"/>
      <c r="X6" s="1816"/>
      <c r="Y6" s="3226"/>
      <c r="Z6" s="3227"/>
      <c r="AA6" s="3211"/>
      <c r="AB6" s="3211"/>
      <c r="AC6" s="3211"/>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2" t="s">
        <v>2547</v>
      </c>
      <c r="Q7" s="3234"/>
      <c r="R7" s="770" t="s">
        <v>17</v>
      </c>
      <c r="S7" s="771">
        <f t="shared" ref="S7:S14" si="0">F7</f>
        <v>0</v>
      </c>
      <c r="T7" s="770" t="s">
        <v>17</v>
      </c>
      <c r="U7" s="771">
        <f t="shared" ref="U7:U14" si="1">H7</f>
        <v>0</v>
      </c>
      <c r="V7" s="770" t="s">
        <v>17</v>
      </c>
      <c r="W7" s="771">
        <f t="shared" ref="W7:W14" si="2">J7</f>
        <v>0</v>
      </c>
      <c r="X7" s="772"/>
      <c r="Y7" s="3232" t="s">
        <v>2547</v>
      </c>
      <c r="Z7" s="323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2" t="s">
        <v>2550</v>
      </c>
      <c r="Q8" s="3233"/>
      <c r="R8" s="770" t="s">
        <v>17</v>
      </c>
      <c r="S8" s="771">
        <f t="shared" si="0"/>
        <v>0</v>
      </c>
      <c r="T8" s="770" t="s">
        <v>17</v>
      </c>
      <c r="U8" s="771">
        <f t="shared" si="1"/>
        <v>0</v>
      </c>
      <c r="V8" s="770" t="s">
        <v>17</v>
      </c>
      <c r="W8" s="771">
        <f t="shared" si="2"/>
        <v>0</v>
      </c>
      <c r="X8" s="772"/>
      <c r="Y8" s="3232" t="s">
        <v>2550</v>
      </c>
      <c r="Z8" s="323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3" t="s">
        <v>2553</v>
      </c>
      <c r="Q9" s="1798" t="str">
        <f t="shared" ref="Q9:Q14" si="6">B9</f>
        <v>用途</v>
      </c>
      <c r="R9" s="770" t="s">
        <v>17</v>
      </c>
      <c r="S9" s="771">
        <f t="shared" si="0"/>
        <v>100</v>
      </c>
      <c r="T9" s="770" t="s">
        <v>17</v>
      </c>
      <c r="U9" s="771">
        <f t="shared" si="1"/>
        <v>100</v>
      </c>
      <c r="V9" s="770" t="s">
        <v>17</v>
      </c>
      <c r="W9" s="771">
        <f t="shared" si="2"/>
        <v>100</v>
      </c>
      <c r="X9" s="772"/>
      <c r="Y9" s="304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3"/>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3"/>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2558</v>
      </c>
      <c r="Q14" s="1813" t="str">
        <f t="shared" si="6"/>
        <v>交通便捷度</v>
      </c>
      <c r="R14" s="774" t="s">
        <v>17</v>
      </c>
      <c r="S14" s="775">
        <f t="shared" si="0"/>
        <v>100</v>
      </c>
      <c r="T14" s="774" t="s">
        <v>17</v>
      </c>
      <c r="U14" s="775">
        <f t="shared" si="1"/>
        <v>100</v>
      </c>
      <c r="V14" s="774" t="s">
        <v>17</v>
      </c>
      <c r="W14" s="775">
        <f t="shared" si="2"/>
        <v>100</v>
      </c>
      <c r="X14" s="1816"/>
      <c r="Y14" s="3200"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1"/>
      <c r="Q15" s="1813"/>
      <c r="R15" s="774"/>
      <c r="S15" s="775"/>
      <c r="T15" s="774"/>
      <c r="U15" s="775"/>
      <c r="V15" s="774"/>
      <c r="W15" s="775"/>
      <c r="X15" s="1816"/>
      <c r="Y15" s="3201"/>
      <c r="Z15" s="1817"/>
      <c r="AA15" s="1814">
        <v>1</v>
      </c>
      <c r="AB15" s="1814">
        <v>1</v>
      </c>
      <c r="AC15" s="1814">
        <v>1</v>
      </c>
    </row>
    <row r="16" spans="1:29" ht="42.75">
      <c r="A16" s="428"/>
      <c r="B16" s="451" t="s">
        <v>2686</v>
      </c>
      <c r="C16" s="2610"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1"/>
      <c r="Q17" s="1813"/>
      <c r="R17" s="774"/>
      <c r="S17" s="775"/>
      <c r="T17" s="774"/>
      <c r="U17" s="775"/>
      <c r="V17" s="774"/>
      <c r="W17" s="775"/>
      <c r="X17" s="1816"/>
      <c r="Y17" s="3201"/>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1"/>
      <c r="Q19" s="1813"/>
      <c r="R19" s="774"/>
      <c r="S19" s="775"/>
      <c r="T19" s="774"/>
      <c r="U19" s="775"/>
      <c r="V19" s="774"/>
      <c r="W19" s="775"/>
      <c r="X19" s="1816"/>
      <c r="Y19" s="3201"/>
      <c r="Z19" s="1817"/>
      <c r="AA19" s="1814">
        <v>1</v>
      </c>
      <c r="AB19" s="1814">
        <v>1</v>
      </c>
      <c r="AC19" s="1814">
        <v>1</v>
      </c>
    </row>
    <row r="20" spans="1:29" ht="57">
      <c r="A20" s="428"/>
      <c r="B20" s="451" t="s">
        <v>2708</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1"/>
      <c r="Q21" s="1813"/>
      <c r="R21" s="774"/>
      <c r="S21" s="775"/>
      <c r="T21" s="774"/>
      <c r="U21" s="775"/>
      <c r="V21" s="774"/>
      <c r="W21" s="775"/>
      <c r="X21" s="1816"/>
      <c r="Y21" s="3201"/>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3">
        <f t="shared" ref="Q24:Q34" si="11">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1"/>
      <c r="Q25" s="1798">
        <f t="shared" si="11"/>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5"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5"/>
      <c r="Q28" s="1813" t="str">
        <f t="shared" si="11"/>
        <v>物业等级</v>
      </c>
      <c r="R28" s="774" t="s">
        <v>17</v>
      </c>
      <c r="S28" s="775">
        <f t="shared" si="12"/>
        <v>100</v>
      </c>
      <c r="T28" s="774" t="s">
        <v>17</v>
      </c>
      <c r="U28" s="775">
        <f t="shared" si="13"/>
        <v>100</v>
      </c>
      <c r="V28" s="774" t="s">
        <v>17</v>
      </c>
      <c r="W28" s="775">
        <f t="shared" si="14"/>
        <v>100</v>
      </c>
      <c r="X28" s="1816"/>
      <c r="Y28" s="3205"/>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5"/>
      <c r="Q29" s="1813" t="str">
        <f t="shared" si="11"/>
        <v>有无电梯</v>
      </c>
      <c r="R29" s="774" t="s">
        <v>17</v>
      </c>
      <c r="S29" s="775">
        <f t="shared" si="12"/>
        <v>100</v>
      </c>
      <c r="T29" s="774" t="s">
        <v>17</v>
      </c>
      <c r="U29" s="775">
        <f t="shared" si="13"/>
        <v>100</v>
      </c>
      <c r="V29" s="774" t="s">
        <v>17</v>
      </c>
      <c r="W29" s="775">
        <f t="shared" si="14"/>
        <v>100</v>
      </c>
      <c r="X29" s="1816"/>
      <c r="Y29" s="3205"/>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5"/>
      <c r="Q30" s="1813" t="str">
        <f t="shared" si="11"/>
        <v>建筑面积</v>
      </c>
      <c r="R30" s="774" t="s">
        <v>17</v>
      </c>
      <c r="S30" s="775" t="e">
        <f t="shared" si="12"/>
        <v>#N/A</v>
      </c>
      <c r="T30" s="774" t="s">
        <v>17</v>
      </c>
      <c r="U30" s="775" t="e">
        <f t="shared" si="13"/>
        <v>#N/A</v>
      </c>
      <c r="V30" s="774" t="s">
        <v>17</v>
      </c>
      <c r="W30" s="775" t="e">
        <f t="shared" si="14"/>
        <v>#N/A</v>
      </c>
      <c r="X30" s="1816"/>
      <c r="Y30" s="3205"/>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5"/>
      <c r="Q31" s="1798"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5" t="s">
        <v>2563</v>
      </c>
      <c r="Q32" s="1813">
        <f t="shared" si="11"/>
        <v>111</v>
      </c>
      <c r="R32" s="774" t="s">
        <v>17</v>
      </c>
      <c r="S32" s="775">
        <f t="shared" si="12"/>
        <v>100</v>
      </c>
      <c r="T32" s="774" t="s">
        <v>17</v>
      </c>
      <c r="U32" s="775">
        <f t="shared" si="13"/>
        <v>100</v>
      </c>
      <c r="V32" s="774" t="s">
        <v>17</v>
      </c>
      <c r="W32" s="775">
        <f t="shared" si="14"/>
        <v>100</v>
      </c>
      <c r="X32" s="1816"/>
      <c r="Y32" s="3205"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5"/>
      <c r="Q33" s="1813">
        <f t="shared" si="11"/>
        <v>111</v>
      </c>
      <c r="R33" s="774" t="s">
        <v>17</v>
      </c>
      <c r="S33" s="775">
        <f t="shared" si="12"/>
        <v>100</v>
      </c>
      <c r="T33" s="774" t="s">
        <v>17</v>
      </c>
      <c r="U33" s="775">
        <f t="shared" si="13"/>
        <v>100</v>
      </c>
      <c r="V33" s="774" t="s">
        <v>17</v>
      </c>
      <c r="W33" s="775">
        <f t="shared" si="14"/>
        <v>100</v>
      </c>
      <c r="X33" s="1816"/>
      <c r="Y33" s="3205"/>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93" t="str">
        <f>A35</f>
        <v>成交单价（元/平方米）</v>
      </c>
      <c r="Q35" s="3193"/>
      <c r="R35" s="3194">
        <f>E35</f>
        <v>0</v>
      </c>
      <c r="S35" s="3194"/>
      <c r="T35" s="3194">
        <f>G35</f>
        <v>0</v>
      </c>
      <c r="U35" s="3194"/>
      <c r="V35" s="3194">
        <f>I35</f>
        <v>0</v>
      </c>
      <c r="W35" s="319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10" t="s">
        <v>2646</v>
      </c>
      <c r="AC4" s="3209" t="s">
        <v>2647</v>
      </c>
    </row>
    <row r="5" spans="1:30" ht="15">
      <c r="A5" s="404"/>
      <c r="B5" s="405"/>
      <c r="C5" s="3261" t="s">
        <v>2540</v>
      </c>
      <c r="D5" s="3231"/>
      <c r="E5" s="3262" t="s">
        <v>2541</v>
      </c>
      <c r="F5" s="3238"/>
      <c r="G5" s="3261" t="s">
        <v>2542</v>
      </c>
      <c r="H5" s="3231"/>
      <c r="I5" s="3261" t="s">
        <v>2543</v>
      </c>
      <c r="J5" s="3231"/>
      <c r="K5" s="610"/>
      <c r="L5" s="1133"/>
      <c r="M5" s="1134"/>
      <c r="N5" s="1134"/>
      <c r="O5" s="1134"/>
      <c r="P5" s="3218"/>
      <c r="Q5" s="3219"/>
      <c r="R5" s="3224"/>
      <c r="S5" s="3225"/>
      <c r="T5" s="3224"/>
      <c r="U5" s="3225"/>
      <c r="V5" s="3207"/>
      <c r="W5" s="3207"/>
      <c r="X5" s="1816"/>
      <c r="Y5" s="3224"/>
      <c r="Z5" s="3225"/>
      <c r="AA5" s="3210"/>
      <c r="AB5" s="3210"/>
      <c r="AC5" s="3210"/>
    </row>
    <row r="6" spans="1:30" ht="15.75" thickBot="1">
      <c r="A6" s="406"/>
      <c r="B6" s="407"/>
      <c r="C6" s="3228" t="s">
        <v>2544</v>
      </c>
      <c r="D6" s="3229"/>
      <c r="E6" s="3235" t="s">
        <v>2544</v>
      </c>
      <c r="F6" s="3236"/>
      <c r="G6" s="3228" t="s">
        <v>2544</v>
      </c>
      <c r="H6" s="3229"/>
      <c r="I6" s="3228" t="s">
        <v>2544</v>
      </c>
      <c r="J6" s="3229"/>
      <c r="K6" s="610" t="s">
        <v>2545</v>
      </c>
      <c r="L6" s="1133"/>
      <c r="M6" s="1134"/>
      <c r="N6" s="1134"/>
      <c r="O6" s="1134"/>
      <c r="P6" s="3220"/>
      <c r="Q6" s="3221"/>
      <c r="R6" s="3224"/>
      <c r="S6" s="3225"/>
      <c r="T6" s="3226"/>
      <c r="U6" s="3227"/>
      <c r="V6" s="3207"/>
      <c r="W6" s="3207"/>
      <c r="X6" s="1816"/>
      <c r="Y6" s="3226"/>
      <c r="Z6" s="3227"/>
      <c r="AA6" s="3211"/>
      <c r="AB6" s="3211"/>
      <c r="AC6" s="3211"/>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2" t="s">
        <v>2547</v>
      </c>
      <c r="Q7" s="3234"/>
      <c r="R7" s="770" t="s">
        <v>17</v>
      </c>
      <c r="S7" s="771">
        <f t="shared" ref="S7:S15" si="0">F7</f>
        <v>0</v>
      </c>
      <c r="T7" s="770" t="s">
        <v>17</v>
      </c>
      <c r="U7" s="771">
        <f t="shared" ref="U7:U15" si="1">H7</f>
        <v>0</v>
      </c>
      <c r="V7" s="770" t="s">
        <v>17</v>
      </c>
      <c r="W7" s="771">
        <f t="shared" ref="W7:W15" si="2">J7</f>
        <v>0</v>
      </c>
      <c r="X7" s="772"/>
      <c r="Y7" s="3232" t="s">
        <v>2547</v>
      </c>
      <c r="Z7" s="323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2" t="s">
        <v>2550</v>
      </c>
      <c r="Q8" s="3233"/>
      <c r="R8" s="770" t="s">
        <v>17</v>
      </c>
      <c r="S8" s="771">
        <f t="shared" si="0"/>
        <v>0</v>
      </c>
      <c r="T8" s="770" t="s">
        <v>17</v>
      </c>
      <c r="U8" s="771">
        <f t="shared" si="1"/>
        <v>0</v>
      </c>
      <c r="V8" s="770" t="s">
        <v>17</v>
      </c>
      <c r="W8" s="771">
        <f t="shared" si="2"/>
        <v>0</v>
      </c>
      <c r="X8" s="772"/>
      <c r="Y8" s="3232" t="s">
        <v>2550</v>
      </c>
      <c r="Z8" s="3233"/>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3"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3"/>
      <c r="Q10" s="1798"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3"/>
      <c r="Q12" s="1798"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2558</v>
      </c>
      <c r="Q15" s="1813" t="str">
        <f t="shared" si="6"/>
        <v>居住社区成熟度</v>
      </c>
      <c r="R15" s="774" t="s">
        <v>17</v>
      </c>
      <c r="S15" s="775">
        <f t="shared" si="0"/>
        <v>100</v>
      </c>
      <c r="T15" s="774" t="s">
        <v>17</v>
      </c>
      <c r="U15" s="775">
        <f t="shared" si="1"/>
        <v>100</v>
      </c>
      <c r="V15" s="774" t="s">
        <v>17</v>
      </c>
      <c r="W15" s="775">
        <f t="shared" si="2"/>
        <v>100</v>
      </c>
      <c r="X15" s="1816"/>
      <c r="Y15" s="3200"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57">
      <c r="A17" s="428"/>
      <c r="B17" s="451" t="s">
        <v>2651</v>
      </c>
      <c r="C17" s="2667" t="str">
        <f>估价对象房地状况!C16</f>
        <v>估价对象周边商业氛围一般，人流量较大，商业繁华度一般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3" t="str">
        <f>B17</f>
        <v>商业繁华度</v>
      </c>
      <c r="R17" s="774" t="s">
        <v>17</v>
      </c>
      <c r="S17" s="775">
        <f>F17</f>
        <v>100</v>
      </c>
      <c r="T17" s="774" t="s">
        <v>17</v>
      </c>
      <c r="U17" s="775">
        <f>H17</f>
        <v>100</v>
      </c>
      <c r="V17" s="774" t="s">
        <v>17</v>
      </c>
      <c r="W17" s="775">
        <f>J17</f>
        <v>100</v>
      </c>
      <c r="X17" s="1816"/>
      <c r="Y17" s="3201"/>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3" t="str">
        <f>B19</f>
        <v>办公集聚程度</v>
      </c>
      <c r="R19" s="774" t="s">
        <v>17</v>
      </c>
      <c r="S19" s="775">
        <f>F19</f>
        <v>100</v>
      </c>
      <c r="T19" s="774" t="s">
        <v>17</v>
      </c>
      <c r="U19" s="775">
        <f>H19</f>
        <v>100</v>
      </c>
      <c r="V19" s="774" t="s">
        <v>17</v>
      </c>
      <c r="W19" s="775">
        <f>J19</f>
        <v>100</v>
      </c>
      <c r="X19" s="1816"/>
      <c r="Y19" s="3201"/>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1"/>
      <c r="Q20" s="1813"/>
      <c r="R20" s="774"/>
      <c r="S20" s="775"/>
      <c r="T20" s="774"/>
      <c r="U20" s="775"/>
      <c r="V20" s="774"/>
      <c r="W20" s="775"/>
      <c r="X20" s="1816"/>
      <c r="Y20" s="3201"/>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3" t="str">
        <f>B21</f>
        <v>交通便捷度</v>
      </c>
      <c r="R21" s="774" t="s">
        <v>17</v>
      </c>
      <c r="S21" s="775">
        <f>F21</f>
        <v>100</v>
      </c>
      <c r="T21" s="774" t="s">
        <v>17</v>
      </c>
      <c r="U21" s="775">
        <f>H21</f>
        <v>100</v>
      </c>
      <c r="V21" s="774" t="s">
        <v>17</v>
      </c>
      <c r="W21" s="775">
        <f>J21</f>
        <v>100</v>
      </c>
      <c r="X21" s="1816"/>
      <c r="Y21" s="3201"/>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3" t="str">
        <f t="shared" ref="Q23:Q37" si="8">B23</f>
        <v>区域土地利用方向</v>
      </c>
      <c r="R23" s="774" t="s">
        <v>17</v>
      </c>
      <c r="S23" s="775">
        <f>F23</f>
        <v>100</v>
      </c>
      <c r="T23" s="774" t="s">
        <v>17</v>
      </c>
      <c r="U23" s="775">
        <f>H23</f>
        <v>100</v>
      </c>
      <c r="V23" s="774" t="s">
        <v>17</v>
      </c>
      <c r="W23" s="775">
        <f>J23</f>
        <v>100</v>
      </c>
      <c r="X23" s="1816"/>
      <c r="Y23" s="3201"/>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1"/>
      <c r="Q24" s="1813"/>
      <c r="R24" s="774"/>
      <c r="S24" s="775"/>
      <c r="T24" s="774"/>
      <c r="U24" s="775"/>
      <c r="V24" s="774"/>
      <c r="W24" s="775"/>
      <c r="X24" s="1816"/>
      <c r="Y24" s="3201"/>
      <c r="Z24" s="1817"/>
      <c r="AA24" s="1814"/>
      <c r="AB24" s="1814"/>
      <c r="AC24" s="1814"/>
    </row>
    <row r="25" spans="1:29" ht="57">
      <c r="A25" s="404"/>
      <c r="B25" s="1387" t="s">
        <v>2747</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3" t="str">
        <f t="shared" si="8"/>
        <v>自然及人文环境状况</v>
      </c>
      <c r="R25" s="774" t="s">
        <v>17</v>
      </c>
      <c r="S25" s="775">
        <f>F25</f>
        <v>100</v>
      </c>
      <c r="T25" s="774" t="s">
        <v>17</v>
      </c>
      <c r="U25" s="775">
        <f>H25</f>
        <v>100</v>
      </c>
      <c r="V25" s="774" t="s">
        <v>17</v>
      </c>
      <c r="W25" s="775">
        <f>J25</f>
        <v>100</v>
      </c>
      <c r="X25" s="1816"/>
      <c r="Y25" s="3201"/>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1"/>
      <c r="Q26" s="1813"/>
      <c r="R26" s="774"/>
      <c r="S26" s="775"/>
      <c r="T26" s="774"/>
      <c r="U26" s="775"/>
      <c r="V26" s="774"/>
      <c r="W26" s="775"/>
      <c r="X26" s="1816"/>
      <c r="Y26" s="3201"/>
      <c r="Z26" s="1817"/>
      <c r="AA26" s="1814">
        <v>1</v>
      </c>
      <c r="AB26" s="1814">
        <v>1</v>
      </c>
      <c r="AC26" s="1814">
        <v>1</v>
      </c>
    </row>
    <row r="27" spans="1:29" s="117" customFormat="1" ht="42.75">
      <c r="A27" s="649"/>
      <c r="B27" s="1387" t="s">
        <v>2652</v>
      </c>
      <c r="C27" s="2610"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8" t="str">
        <f t="shared" si="8"/>
        <v>公共配套设施</v>
      </c>
      <c r="R27" s="770" t="s">
        <v>17</v>
      </c>
      <c r="S27" s="771">
        <f>F27</f>
        <v>100</v>
      </c>
      <c r="T27" s="770" t="s">
        <v>17</v>
      </c>
      <c r="U27" s="771">
        <f>H27</f>
        <v>100</v>
      </c>
      <c r="V27" s="770" t="s">
        <v>17</v>
      </c>
      <c r="W27" s="771">
        <f>J27</f>
        <v>100</v>
      </c>
      <c r="X27" s="772"/>
      <c r="Y27" s="3201"/>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1"/>
      <c r="Q28" s="1798"/>
      <c r="R28" s="770"/>
      <c r="S28" s="771"/>
      <c r="T28" s="770"/>
      <c r="U28" s="771"/>
      <c r="V28" s="770"/>
      <c r="W28" s="771"/>
      <c r="X28" s="772"/>
      <c r="Y28" s="3201"/>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8"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1"/>
      <c r="Q30" s="1798"/>
      <c r="R30" s="770"/>
      <c r="S30" s="771"/>
      <c r="T30" s="770"/>
      <c r="U30" s="771"/>
      <c r="V30" s="770"/>
      <c r="W30" s="771"/>
      <c r="X30" s="772"/>
      <c r="Y30" s="3201"/>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1"/>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3" t="str">
        <f t="shared" si="8"/>
        <v>毗邻道路的类型与等级</v>
      </c>
      <c r="R32" s="774" t="s">
        <v>17</v>
      </c>
      <c r="S32" s="775">
        <f t="shared" si="10"/>
        <v>100</v>
      </c>
      <c r="T32" s="774" t="s">
        <v>17</v>
      </c>
      <c r="U32" s="775">
        <f t="shared" si="11"/>
        <v>100</v>
      </c>
      <c r="V32" s="774" t="s">
        <v>17</v>
      </c>
      <c r="W32" s="775">
        <f t="shared" si="12"/>
        <v>100</v>
      </c>
      <c r="X32" s="1816"/>
      <c r="Y32" s="3201"/>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1"/>
      <c r="Q33" s="1813"/>
      <c r="R33" s="774"/>
      <c r="S33" s="775"/>
      <c r="T33" s="774"/>
      <c r="U33" s="775"/>
      <c r="V33" s="774"/>
      <c r="W33" s="775"/>
      <c r="X33" s="1816"/>
      <c r="Y33" s="3201"/>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3" t="str">
        <f t="shared" si="8"/>
        <v>土地级别</v>
      </c>
      <c r="R34" s="774" t="s">
        <v>17</v>
      </c>
      <c r="S34" s="775">
        <f t="shared" si="10"/>
        <v>100</v>
      </c>
      <c r="T34" s="774" t="s">
        <v>17</v>
      </c>
      <c r="U34" s="775">
        <f t="shared" si="11"/>
        <v>100</v>
      </c>
      <c r="V34" s="774" t="s">
        <v>17</v>
      </c>
      <c r="W34" s="775">
        <f t="shared" si="12"/>
        <v>100</v>
      </c>
      <c r="X34" s="1816"/>
      <c r="Y34" s="320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3">
        <f t="shared" si="8"/>
        <v>111</v>
      </c>
      <c r="R35" s="774" t="s">
        <v>17</v>
      </c>
      <c r="S35" s="775">
        <f t="shared" si="10"/>
        <v>100</v>
      </c>
      <c r="T35" s="774" t="s">
        <v>17</v>
      </c>
      <c r="U35" s="775">
        <f t="shared" si="11"/>
        <v>100</v>
      </c>
      <c r="V35" s="774" t="s">
        <v>17</v>
      </c>
      <c r="W35" s="775">
        <f t="shared" si="12"/>
        <v>100</v>
      </c>
      <c r="X35" s="1816"/>
      <c r="Y35" s="320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2563</v>
      </c>
      <c r="Q36" s="1813">
        <f t="shared" si="8"/>
        <v>111</v>
      </c>
      <c r="R36" s="774" t="s">
        <v>17</v>
      </c>
      <c r="S36" s="775">
        <f t="shared" si="10"/>
        <v>100</v>
      </c>
      <c r="T36" s="774" t="s">
        <v>17</v>
      </c>
      <c r="U36" s="775">
        <f t="shared" si="11"/>
        <v>100</v>
      </c>
      <c r="V36" s="774" t="s">
        <v>17</v>
      </c>
      <c r="W36" s="775">
        <f t="shared" si="12"/>
        <v>100</v>
      </c>
      <c r="X36" s="1816"/>
      <c r="Y36" s="3205"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5"/>
      <c r="Q37" s="1813">
        <f t="shared" si="8"/>
        <v>111</v>
      </c>
      <c r="R37" s="777" t="s">
        <v>17</v>
      </c>
      <c r="S37" s="778">
        <f t="shared" si="10"/>
        <v>100</v>
      </c>
      <c r="T37" s="777" t="s">
        <v>17</v>
      </c>
      <c r="U37" s="778">
        <f t="shared" si="11"/>
        <v>100</v>
      </c>
      <c r="V37" s="777" t="s">
        <v>17</v>
      </c>
      <c r="W37" s="778">
        <f t="shared" si="12"/>
        <v>100</v>
      </c>
      <c r="X37" s="779"/>
      <c r="Y37" s="3205"/>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5"/>
      <c r="Q38" s="1813" t="str">
        <f>B38</f>
        <v>宗地面积</v>
      </c>
      <c r="R38" s="774" t="s">
        <v>17</v>
      </c>
      <c r="S38" s="775" t="e">
        <f t="shared" si="10"/>
        <v>#N/A</v>
      </c>
      <c r="T38" s="774" t="s">
        <v>17</v>
      </c>
      <c r="U38" s="775" t="e">
        <f t="shared" si="11"/>
        <v>#N/A</v>
      </c>
      <c r="V38" s="774" t="s">
        <v>17</v>
      </c>
      <c r="W38" s="775" t="e">
        <f t="shared" si="12"/>
        <v>#N/A</v>
      </c>
      <c r="X38" s="1816"/>
      <c r="Y38" s="3205"/>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5"/>
      <c r="Q39" s="1813" t="str">
        <f t="shared" ref="Q39:Q45" si="14">B39</f>
        <v>宗地形状</v>
      </c>
      <c r="R39" s="774" t="s">
        <v>17</v>
      </c>
      <c r="S39" s="775">
        <f t="shared" si="10"/>
        <v>100</v>
      </c>
      <c r="T39" s="774" t="s">
        <v>17</v>
      </c>
      <c r="U39" s="775">
        <f t="shared" si="11"/>
        <v>100</v>
      </c>
      <c r="V39" s="774" t="s">
        <v>17</v>
      </c>
      <c r="W39" s="775">
        <f t="shared" si="12"/>
        <v>100</v>
      </c>
      <c r="X39" s="1816"/>
      <c r="Y39" s="3205"/>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5"/>
      <c r="Q40" s="1813" t="str">
        <f t="shared" si="14"/>
        <v>临街宽度及深度</v>
      </c>
      <c r="R40" s="774" t="s">
        <v>17</v>
      </c>
      <c r="S40" s="775">
        <f t="shared" si="10"/>
        <v>100</v>
      </c>
      <c r="T40" s="774" t="s">
        <v>17</v>
      </c>
      <c r="U40" s="775">
        <f t="shared" si="11"/>
        <v>100</v>
      </c>
      <c r="V40" s="774" t="s">
        <v>17</v>
      </c>
      <c r="W40" s="775">
        <f t="shared" si="12"/>
        <v>100</v>
      </c>
      <c r="X40" s="1816"/>
      <c r="Y40" s="3205"/>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5"/>
      <c r="Q41" s="1813" t="str">
        <f t="shared" si="14"/>
        <v>宗地开发程度</v>
      </c>
      <c r="R41" s="770" t="s">
        <v>17</v>
      </c>
      <c r="S41" s="771">
        <f t="shared" si="10"/>
        <v>100</v>
      </c>
      <c r="T41" s="770" t="s">
        <v>17</v>
      </c>
      <c r="U41" s="771">
        <f t="shared" si="11"/>
        <v>100</v>
      </c>
      <c r="V41" s="770" t="s">
        <v>17</v>
      </c>
      <c r="W41" s="771">
        <f t="shared" si="12"/>
        <v>100</v>
      </c>
      <c r="X41" s="772"/>
      <c r="Y41" s="3205"/>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5" t="s">
        <v>2563</v>
      </c>
      <c r="Q42" s="1813" t="str">
        <f t="shared" si="14"/>
        <v>工程地质条件</v>
      </c>
      <c r="R42" s="774" t="s">
        <v>17</v>
      </c>
      <c r="S42" s="775">
        <f t="shared" si="10"/>
        <v>100</v>
      </c>
      <c r="T42" s="774" t="s">
        <v>17</v>
      </c>
      <c r="U42" s="775">
        <f t="shared" si="11"/>
        <v>100</v>
      </c>
      <c r="V42" s="774" t="s">
        <v>17</v>
      </c>
      <c r="W42" s="775">
        <f t="shared" si="12"/>
        <v>100</v>
      </c>
      <c r="X42" s="1816"/>
      <c r="Y42" s="3205"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5"/>
      <c r="Q43" s="1813">
        <f t="shared" si="14"/>
        <v>111</v>
      </c>
      <c r="R43" s="774" t="s">
        <v>17</v>
      </c>
      <c r="S43" s="775">
        <f t="shared" si="10"/>
        <v>100</v>
      </c>
      <c r="T43" s="774" t="s">
        <v>17</v>
      </c>
      <c r="U43" s="775">
        <f t="shared" si="11"/>
        <v>100</v>
      </c>
      <c r="V43" s="774" t="s">
        <v>17</v>
      </c>
      <c r="W43" s="775">
        <f t="shared" si="12"/>
        <v>100</v>
      </c>
      <c r="X43" s="1816"/>
      <c r="Y43" s="320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5"/>
      <c r="Q44" s="1813">
        <f t="shared" si="14"/>
        <v>111</v>
      </c>
      <c r="R44" s="774" t="s">
        <v>17</v>
      </c>
      <c r="S44" s="775">
        <f t="shared" si="10"/>
        <v>100</v>
      </c>
      <c r="T44" s="774" t="s">
        <v>17</v>
      </c>
      <c r="U44" s="775">
        <f t="shared" si="11"/>
        <v>100</v>
      </c>
      <c r="V44" s="774" t="s">
        <v>17</v>
      </c>
      <c r="W44" s="775">
        <f t="shared" si="12"/>
        <v>100</v>
      </c>
      <c r="X44" s="1816"/>
      <c r="Y44" s="3205"/>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5"/>
      <c r="Q45" s="1813">
        <f t="shared" si="14"/>
        <v>111</v>
      </c>
      <c r="R45" s="777" t="s">
        <v>17</v>
      </c>
      <c r="S45" s="778">
        <f t="shared" si="10"/>
        <v>100</v>
      </c>
      <c r="T45" s="777" t="s">
        <v>17</v>
      </c>
      <c r="U45" s="778">
        <f t="shared" si="11"/>
        <v>100</v>
      </c>
      <c r="V45" s="777" t="s">
        <v>17</v>
      </c>
      <c r="W45" s="778">
        <f t="shared" si="12"/>
        <v>100</v>
      </c>
      <c r="X45" s="779"/>
      <c r="Y45" s="3205"/>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193" t="str">
        <f>A46</f>
        <v>成交单价</v>
      </c>
      <c r="Q46" s="3193"/>
      <c r="R46" s="3207">
        <f>E46</f>
        <v>0</v>
      </c>
      <c r="S46" s="3207"/>
      <c r="T46" s="3207">
        <f>G46</f>
        <v>0</v>
      </c>
      <c r="U46" s="3207"/>
      <c r="V46" s="3207">
        <f>I46</f>
        <v>0</v>
      </c>
      <c r="W46" s="3207"/>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93" t="str">
        <f>A47</f>
        <v>比较价值（元/平方米）</v>
      </c>
      <c r="Q47" s="3193"/>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95" t="str">
        <f>A48</f>
        <v>估价对象XX用房的比较价值（楼面单价，元/平方米）</v>
      </c>
      <c r="Q48" s="3196"/>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2" t="s">
        <v>2762</v>
      </c>
      <c r="H55" s="3281"/>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2644.5600000000004</v>
      </c>
      <c r="F56" s="1106" t="e">
        <f t="shared" ref="F56:F65" si="15">ROUND(B56*E56/10000,0)</f>
        <v>#DIV/0!</v>
      </c>
      <c r="G56" s="3208"/>
      <c r="H56" s="3193"/>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2644.5600000000004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222" t="s">
        <v>2645</v>
      </c>
      <c r="S4" s="3223"/>
      <c r="T4" s="3222" t="s">
        <v>2646</v>
      </c>
      <c r="U4" s="3223"/>
      <c r="V4" s="3207" t="s">
        <v>2647</v>
      </c>
      <c r="W4" s="3207"/>
      <c r="X4" s="1816"/>
      <c r="Y4" s="3222" t="s">
        <v>2649</v>
      </c>
      <c r="Z4" s="3223"/>
      <c r="AA4" s="3209" t="s">
        <v>2645</v>
      </c>
      <c r="AB4" s="3210" t="s">
        <v>2646</v>
      </c>
      <c r="AC4" s="3209" t="s">
        <v>2647</v>
      </c>
    </row>
    <row r="5" spans="1:29" ht="15">
      <c r="A5" s="404"/>
      <c r="B5" s="405"/>
      <c r="C5" s="3261" t="s">
        <v>2540</v>
      </c>
      <c r="D5" s="3231"/>
      <c r="E5" s="3262" t="s">
        <v>2541</v>
      </c>
      <c r="F5" s="3238"/>
      <c r="G5" s="3261" t="s">
        <v>2542</v>
      </c>
      <c r="H5" s="3231"/>
      <c r="I5" s="3261" t="s">
        <v>2543</v>
      </c>
      <c r="J5" s="3231"/>
      <c r="K5" s="610"/>
      <c r="L5" s="1133"/>
      <c r="M5" s="1134"/>
      <c r="N5" s="1134"/>
      <c r="O5" s="1134"/>
      <c r="P5" s="3218"/>
      <c r="Q5" s="3219"/>
      <c r="R5" s="3224"/>
      <c r="S5" s="3225"/>
      <c r="T5" s="3224"/>
      <c r="U5" s="3225"/>
      <c r="V5" s="3207"/>
      <c r="W5" s="3207"/>
      <c r="X5" s="1816"/>
      <c r="Y5" s="3224"/>
      <c r="Z5" s="3225"/>
      <c r="AA5" s="3210"/>
      <c r="AB5" s="3210"/>
      <c r="AC5" s="3210"/>
    </row>
    <row r="6" spans="1:29" ht="15.75" thickBot="1">
      <c r="A6" s="406"/>
      <c r="B6" s="407"/>
      <c r="C6" s="3283" t="s">
        <v>2795</v>
      </c>
      <c r="D6" s="3284"/>
      <c r="E6" s="3285" t="s">
        <v>2795</v>
      </c>
      <c r="F6" s="3286"/>
      <c r="G6" s="3283" t="s">
        <v>2795</v>
      </c>
      <c r="H6" s="3284"/>
      <c r="I6" s="3283" t="s">
        <v>2795</v>
      </c>
      <c r="J6" s="3284"/>
      <c r="K6" s="610" t="s">
        <v>2545</v>
      </c>
      <c r="L6" s="1133"/>
      <c r="M6" s="1134"/>
      <c r="N6" s="1134"/>
      <c r="O6" s="1134"/>
      <c r="P6" s="3220"/>
      <c r="Q6" s="3221"/>
      <c r="R6" s="3224"/>
      <c r="S6" s="3225"/>
      <c r="T6" s="3226"/>
      <c r="U6" s="3227"/>
      <c r="V6" s="3207"/>
      <c r="W6" s="3207"/>
      <c r="X6" s="1816"/>
      <c r="Y6" s="3226"/>
      <c r="Z6" s="3227"/>
      <c r="AA6" s="3211"/>
      <c r="AB6" s="3211"/>
      <c r="AC6" s="3211"/>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2" t="s">
        <v>2547</v>
      </c>
      <c r="Q7" s="3234"/>
      <c r="R7" s="770" t="s">
        <v>17</v>
      </c>
      <c r="S7" s="771">
        <f t="shared" ref="S7:S15" si="0">F7</f>
        <v>0</v>
      </c>
      <c r="T7" s="770" t="s">
        <v>17</v>
      </c>
      <c r="U7" s="771">
        <f t="shared" ref="U7:U15" si="1">H7</f>
        <v>0</v>
      </c>
      <c r="V7" s="770" t="s">
        <v>17</v>
      </c>
      <c r="W7" s="771">
        <f t="shared" ref="W7:W15" si="2">J7</f>
        <v>0</v>
      </c>
      <c r="X7" s="772"/>
      <c r="Y7" s="3232" t="s">
        <v>2547</v>
      </c>
      <c r="Z7" s="323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2" t="s">
        <v>2550</v>
      </c>
      <c r="Q8" s="3233"/>
      <c r="R8" s="770" t="s">
        <v>17</v>
      </c>
      <c r="S8" s="771">
        <f t="shared" si="0"/>
        <v>0</v>
      </c>
      <c r="T8" s="770" t="s">
        <v>17</v>
      </c>
      <c r="U8" s="771">
        <f t="shared" si="1"/>
        <v>0</v>
      </c>
      <c r="V8" s="770" t="s">
        <v>17</v>
      </c>
      <c r="W8" s="771">
        <f t="shared" si="2"/>
        <v>0</v>
      </c>
      <c r="X8" s="772"/>
      <c r="Y8" s="3232" t="s">
        <v>2550</v>
      </c>
      <c r="Z8" s="3233"/>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3" t="s">
        <v>2553</v>
      </c>
      <c r="Q9" s="1798" t="str">
        <f t="shared" ref="Q9:Q15" si="6">B9</f>
        <v>用途</v>
      </c>
      <c r="R9" s="770" t="s">
        <v>17</v>
      </c>
      <c r="S9" s="771">
        <f t="shared" si="0"/>
        <v>100</v>
      </c>
      <c r="T9" s="770" t="s">
        <v>17</v>
      </c>
      <c r="U9" s="771">
        <f t="shared" si="1"/>
        <v>100</v>
      </c>
      <c r="V9" s="770" t="s">
        <v>17</v>
      </c>
      <c r="W9" s="771">
        <f t="shared" si="2"/>
        <v>100</v>
      </c>
      <c r="X9" s="772"/>
      <c r="Y9" s="304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3"/>
      <c r="Q10" s="1798"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3"/>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3"/>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3"/>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3"/>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2558</v>
      </c>
      <c r="Q15" s="1813" t="str">
        <f t="shared" si="6"/>
        <v>产业集聚程度</v>
      </c>
      <c r="R15" s="774" t="s">
        <v>17</v>
      </c>
      <c r="S15" s="775">
        <f t="shared" si="0"/>
        <v>100</v>
      </c>
      <c r="T15" s="774" t="s">
        <v>17</v>
      </c>
      <c r="U15" s="775">
        <f t="shared" si="1"/>
        <v>100</v>
      </c>
      <c r="V15" s="774" t="s">
        <v>17</v>
      </c>
      <c r="W15" s="775">
        <f t="shared" si="2"/>
        <v>100</v>
      </c>
      <c r="X15" s="1816"/>
      <c r="Y15" s="3200"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3" t="str">
        <f t="shared" ref="Q19:Q33" si="8">B19</f>
        <v>区域土地利用方向</v>
      </c>
      <c r="R19" s="774" t="s">
        <v>17</v>
      </c>
      <c r="S19" s="775">
        <f>F19</f>
        <v>100</v>
      </c>
      <c r="T19" s="774" t="s">
        <v>17</v>
      </c>
      <c r="U19" s="775">
        <f>H19</f>
        <v>100</v>
      </c>
      <c r="V19" s="774" t="s">
        <v>17</v>
      </c>
      <c r="W19" s="775">
        <f>J19</f>
        <v>100</v>
      </c>
      <c r="X19" s="1816"/>
      <c r="Y19" s="3201"/>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1"/>
      <c r="Q20" s="1813"/>
      <c r="R20" s="774"/>
      <c r="S20" s="775"/>
      <c r="T20" s="774"/>
      <c r="U20" s="775"/>
      <c r="V20" s="774"/>
      <c r="W20" s="775"/>
      <c r="X20" s="1816"/>
      <c r="Y20" s="3201"/>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3" t="str">
        <f t="shared" si="8"/>
        <v>环境状况</v>
      </c>
      <c r="R21" s="774" t="s">
        <v>17</v>
      </c>
      <c r="S21" s="775">
        <f>F21</f>
        <v>100</v>
      </c>
      <c r="T21" s="774" t="s">
        <v>17</v>
      </c>
      <c r="U21" s="775">
        <f>H21</f>
        <v>100</v>
      </c>
      <c r="V21" s="774" t="s">
        <v>17</v>
      </c>
      <c r="W21" s="775">
        <f>J21</f>
        <v>100</v>
      </c>
      <c r="X21" s="1816"/>
      <c r="Y21" s="3201"/>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8" t="str">
        <f t="shared" si="8"/>
        <v>公共配套设施</v>
      </c>
      <c r="R23" s="770" t="s">
        <v>17</v>
      </c>
      <c r="S23" s="771">
        <f>F23</f>
        <v>100</v>
      </c>
      <c r="T23" s="770" t="s">
        <v>17</v>
      </c>
      <c r="U23" s="771">
        <f>H23</f>
        <v>100</v>
      </c>
      <c r="V23" s="770" t="s">
        <v>17</v>
      </c>
      <c r="W23" s="771">
        <f>J23</f>
        <v>100</v>
      </c>
      <c r="X23" s="772"/>
      <c r="Y23" s="3201"/>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1"/>
      <c r="Q24" s="1798"/>
      <c r="R24" s="770"/>
      <c r="S24" s="771"/>
      <c r="T24" s="770"/>
      <c r="U24" s="771"/>
      <c r="V24" s="770"/>
      <c r="W24" s="771"/>
      <c r="X24" s="772"/>
      <c r="Y24" s="3201"/>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8"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1"/>
      <c r="Q26" s="1798"/>
      <c r="R26" s="770"/>
      <c r="S26" s="771"/>
      <c r="T26" s="770"/>
      <c r="U26" s="771"/>
      <c r="V26" s="770"/>
      <c r="W26" s="771"/>
      <c r="X26" s="772"/>
      <c r="Y26" s="320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1"/>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3" t="str">
        <f t="shared" si="8"/>
        <v>毗邻道路的类型与等级</v>
      </c>
      <c r="R28" s="774" t="s">
        <v>17</v>
      </c>
      <c r="S28" s="775">
        <f t="shared" si="10"/>
        <v>100</v>
      </c>
      <c r="T28" s="774" t="s">
        <v>17</v>
      </c>
      <c r="U28" s="775">
        <f t="shared" si="11"/>
        <v>100</v>
      </c>
      <c r="V28" s="774" t="s">
        <v>17</v>
      </c>
      <c r="W28" s="775">
        <f t="shared" si="12"/>
        <v>100</v>
      </c>
      <c r="X28" s="1816"/>
      <c r="Y28" s="3201"/>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1"/>
      <c r="Q29" s="1813"/>
      <c r="R29" s="774"/>
      <c r="S29" s="775"/>
      <c r="T29" s="774"/>
      <c r="U29" s="775"/>
      <c r="V29" s="774"/>
      <c r="W29" s="775"/>
      <c r="X29" s="1816"/>
      <c r="Y29" s="3201"/>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3" t="str">
        <f t="shared" si="8"/>
        <v>土地级别</v>
      </c>
      <c r="R30" s="774" t="s">
        <v>17</v>
      </c>
      <c r="S30" s="775">
        <f t="shared" si="10"/>
        <v>100</v>
      </c>
      <c r="T30" s="774" t="s">
        <v>17</v>
      </c>
      <c r="U30" s="775">
        <f t="shared" si="11"/>
        <v>100</v>
      </c>
      <c r="V30" s="774" t="s">
        <v>17</v>
      </c>
      <c r="W30" s="775">
        <f t="shared" si="12"/>
        <v>100</v>
      </c>
      <c r="X30" s="1816"/>
      <c r="Y30" s="3201"/>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3">
        <f t="shared" si="8"/>
        <v>111</v>
      </c>
      <c r="R31" s="774" t="s">
        <v>17</v>
      </c>
      <c r="S31" s="775">
        <f t="shared" si="10"/>
        <v>100</v>
      </c>
      <c r="T31" s="774" t="s">
        <v>17</v>
      </c>
      <c r="U31" s="775">
        <f t="shared" si="11"/>
        <v>100</v>
      </c>
      <c r="V31" s="774" t="s">
        <v>17</v>
      </c>
      <c r="W31" s="775">
        <f t="shared" si="12"/>
        <v>100</v>
      </c>
      <c r="X31" s="1816"/>
      <c r="Y31" s="3201"/>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2563</v>
      </c>
      <c r="Q32" s="1813">
        <f t="shared" si="8"/>
        <v>111</v>
      </c>
      <c r="R32" s="774" t="s">
        <v>17</v>
      </c>
      <c r="S32" s="775">
        <f t="shared" si="10"/>
        <v>100</v>
      </c>
      <c r="T32" s="774" t="s">
        <v>17</v>
      </c>
      <c r="U32" s="775">
        <f t="shared" si="11"/>
        <v>100</v>
      </c>
      <c r="V32" s="774" t="s">
        <v>17</v>
      </c>
      <c r="W32" s="775">
        <f t="shared" si="12"/>
        <v>100</v>
      </c>
      <c r="X32" s="1816"/>
      <c r="Y32" s="3205"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5"/>
      <c r="Q33" s="1813">
        <f t="shared" si="8"/>
        <v>111</v>
      </c>
      <c r="R33" s="777" t="s">
        <v>17</v>
      </c>
      <c r="S33" s="778">
        <f t="shared" si="10"/>
        <v>100</v>
      </c>
      <c r="T33" s="777" t="s">
        <v>17</v>
      </c>
      <c r="U33" s="778">
        <f t="shared" si="11"/>
        <v>100</v>
      </c>
      <c r="V33" s="777" t="s">
        <v>17</v>
      </c>
      <c r="W33" s="778">
        <f t="shared" si="12"/>
        <v>100</v>
      </c>
      <c r="X33" s="779"/>
      <c r="Y33" s="3205"/>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5"/>
      <c r="Q34" s="1813" t="str">
        <f>B34</f>
        <v>宗地面积</v>
      </c>
      <c r="R34" s="774" t="s">
        <v>17</v>
      </c>
      <c r="S34" s="775" t="e">
        <f t="shared" si="10"/>
        <v>#N/A</v>
      </c>
      <c r="T34" s="774" t="s">
        <v>17</v>
      </c>
      <c r="U34" s="775" t="e">
        <f t="shared" si="11"/>
        <v>#N/A</v>
      </c>
      <c r="V34" s="774" t="s">
        <v>17</v>
      </c>
      <c r="W34" s="775" t="e">
        <f t="shared" si="12"/>
        <v>#N/A</v>
      </c>
      <c r="X34" s="1816"/>
      <c r="Y34" s="3205"/>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5"/>
      <c r="Q35" s="1813" t="str">
        <f t="shared" ref="Q35:Q40" si="14">B35</f>
        <v>宗地形状</v>
      </c>
      <c r="R35" s="774" t="s">
        <v>17</v>
      </c>
      <c r="S35" s="775">
        <f t="shared" si="10"/>
        <v>100</v>
      </c>
      <c r="T35" s="774" t="s">
        <v>17</v>
      </c>
      <c r="U35" s="775">
        <f t="shared" si="11"/>
        <v>100</v>
      </c>
      <c r="V35" s="774" t="s">
        <v>17</v>
      </c>
      <c r="W35" s="775">
        <f t="shared" si="12"/>
        <v>100</v>
      </c>
      <c r="X35" s="1816"/>
      <c r="Y35" s="3205"/>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5"/>
      <c r="Q36" s="1813"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5" t="s">
        <v>2563</v>
      </c>
      <c r="Q37" s="1813" t="str">
        <f t="shared" si="14"/>
        <v>工程地质条件</v>
      </c>
      <c r="R37" s="774" t="s">
        <v>17</v>
      </c>
      <c r="S37" s="775">
        <f t="shared" si="10"/>
        <v>100</v>
      </c>
      <c r="T37" s="774" t="s">
        <v>17</v>
      </c>
      <c r="U37" s="775">
        <f t="shared" si="11"/>
        <v>100</v>
      </c>
      <c r="V37" s="774" t="s">
        <v>17</v>
      </c>
      <c r="W37" s="775">
        <f t="shared" si="12"/>
        <v>100</v>
      </c>
      <c r="X37" s="1816"/>
      <c r="Y37" s="3205"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5"/>
      <c r="Q38" s="1813">
        <f t="shared" si="14"/>
        <v>111</v>
      </c>
      <c r="R38" s="774" t="s">
        <v>17</v>
      </c>
      <c r="S38" s="775">
        <f t="shared" si="10"/>
        <v>100</v>
      </c>
      <c r="T38" s="774" t="s">
        <v>17</v>
      </c>
      <c r="U38" s="775">
        <f t="shared" si="11"/>
        <v>100</v>
      </c>
      <c r="V38" s="774" t="s">
        <v>17</v>
      </c>
      <c r="W38" s="775">
        <f t="shared" si="12"/>
        <v>100</v>
      </c>
      <c r="X38" s="1816"/>
      <c r="Y38" s="320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5"/>
      <c r="Q39" s="1813">
        <f t="shared" si="14"/>
        <v>111</v>
      </c>
      <c r="R39" s="774" t="s">
        <v>17</v>
      </c>
      <c r="S39" s="775">
        <f t="shared" si="10"/>
        <v>100</v>
      </c>
      <c r="T39" s="774" t="s">
        <v>17</v>
      </c>
      <c r="U39" s="775">
        <f t="shared" si="11"/>
        <v>100</v>
      </c>
      <c r="V39" s="774" t="s">
        <v>17</v>
      </c>
      <c r="W39" s="775">
        <f t="shared" si="12"/>
        <v>100</v>
      </c>
      <c r="X39" s="1816"/>
      <c r="Y39" s="3205"/>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5"/>
      <c r="Q40" s="1813">
        <f t="shared" si="14"/>
        <v>111</v>
      </c>
      <c r="R40" s="777" t="s">
        <v>17</v>
      </c>
      <c r="S40" s="778">
        <f t="shared" si="10"/>
        <v>100</v>
      </c>
      <c r="T40" s="777" t="s">
        <v>17</v>
      </c>
      <c r="U40" s="778">
        <f t="shared" si="11"/>
        <v>100</v>
      </c>
      <c r="V40" s="777" t="s">
        <v>17</v>
      </c>
      <c r="W40" s="778">
        <f t="shared" si="12"/>
        <v>100</v>
      </c>
      <c r="X40" s="779"/>
      <c r="Y40" s="3205"/>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193" t="str">
        <f>A41</f>
        <v>成交单价</v>
      </c>
      <c r="Q41" s="3193"/>
      <c r="R41" s="3207">
        <f>E41</f>
        <v>0</v>
      </c>
      <c r="S41" s="3207"/>
      <c r="T41" s="3207">
        <f>G41</f>
        <v>0</v>
      </c>
      <c r="U41" s="3207"/>
      <c r="V41" s="3207">
        <f>I41</f>
        <v>0</v>
      </c>
      <c r="W41" s="320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3" t="str">
        <f>A42</f>
        <v>比较价值（元/平方米）</v>
      </c>
      <c r="Q42" s="3193"/>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95" t="str">
        <f>A43</f>
        <v>估价对象XX用房的比较价值（楼面单价，元/平方米）</v>
      </c>
      <c r="Q43" s="3196"/>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2" t="s">
        <v>2762</v>
      </c>
      <c r="H50" s="3281"/>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2644.5600000000004</v>
      </c>
      <c r="F51" s="691" t="e">
        <f t="shared" ref="F51:F60" si="15">ROUND(B51*E51/10000,0)</f>
        <v>#DIV/0!</v>
      </c>
      <c r="G51" s="3208"/>
      <c r="H51" s="3193"/>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676.55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0"/>
      <c r="B4" s="3291"/>
      <c r="C4" s="3291"/>
      <c r="D4" s="3292"/>
      <c r="E4" s="3292"/>
      <c r="F4" s="3292"/>
      <c r="G4" s="3292"/>
      <c r="H4" s="3292"/>
      <c r="I4" s="3292"/>
      <c r="J4" s="3293"/>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94"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95"/>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7" t="s">
        <v>2838</v>
      </c>
      <c r="X8" s="3288"/>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95"/>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9"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5"/>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5"/>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9"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94"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9"/>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6"/>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89"/>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296"/>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7"/>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4"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5"/>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04"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5"/>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5"/>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06"/>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估价对象周边商业氛围一般，人流量较大，商业繁华度一般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98" t="s">
        <v>2972</v>
      </c>
      <c r="B90" s="3298"/>
      <c r="C90" s="3298"/>
      <c r="D90" s="3298"/>
      <c r="E90" s="3298"/>
      <c r="F90" s="3298"/>
      <c r="G90" s="3298"/>
      <c r="H90" s="3298"/>
      <c r="I90" s="3298"/>
      <c r="J90" s="3298"/>
      <c r="K90" s="2895"/>
      <c r="L90" s="2895"/>
      <c r="M90" s="2895"/>
      <c r="N90" s="2895"/>
    </row>
    <row r="91" spans="1:37">
      <c r="A91" s="3300" t="s">
        <v>2973</v>
      </c>
      <c r="B91" s="3300" t="s">
        <v>2974</v>
      </c>
      <c r="C91" s="2849" t="s">
        <v>2975</v>
      </c>
      <c r="D91" s="2850"/>
      <c r="E91" s="2850"/>
      <c r="F91" s="2850"/>
      <c r="G91" s="2850"/>
      <c r="H91" s="2850"/>
      <c r="I91" s="2850"/>
      <c r="J91" s="2896"/>
      <c r="K91" s="2897"/>
      <c r="L91" s="2897"/>
      <c r="M91" s="2897"/>
      <c r="N91" s="2897"/>
    </row>
    <row r="92" spans="1:37">
      <c r="A92" s="3300"/>
      <c r="B92" s="330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01"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2"/>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1"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302"/>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302"/>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302"/>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302"/>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302"/>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302"/>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302"/>
      <c r="B108" s="3158"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3"/>
      <c r="B109" s="3159"/>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299" t="s">
        <v>2980</v>
      </c>
      <c r="B110" s="3299"/>
      <c r="C110" s="3299"/>
      <c r="D110" s="3299"/>
      <c r="E110" s="3299"/>
      <c r="F110" s="3299"/>
      <c r="G110" s="3299"/>
      <c r="H110" s="3299"/>
      <c r="I110" s="3299"/>
      <c r="J110" s="3299"/>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4"/>
      <c r="B4" s="3003" t="s">
        <v>1630</v>
      </c>
      <c r="C4" s="3003"/>
      <c r="D4" s="3003"/>
      <c r="E4" s="1964"/>
    </row>
    <row r="5" spans="1:5" ht="16.5" thickTop="1">
      <c r="A5" s="1962"/>
      <c r="B5" s="3001" t="s">
        <v>1622</v>
      </c>
      <c r="C5" s="1965" t="s">
        <v>1623</v>
      </c>
      <c r="D5" s="1043">
        <f ca="1">结果表!H101</f>
        <v>776</v>
      </c>
      <c r="E5" s="1962"/>
    </row>
    <row r="6" spans="1:5" ht="15.75">
      <c r="A6" s="1962"/>
      <c r="B6" s="3001"/>
      <c r="C6" s="1965" t="s">
        <v>1624</v>
      </c>
      <c r="D6" s="1043" t="str">
        <f ca="1">NUMBERSTRING(INT(D5*10000),2)&amp;"元整"</f>
        <v>柒佰柒拾陆万元整</v>
      </c>
      <c r="E6" s="1962"/>
    </row>
    <row r="7" spans="1:5" ht="15.75">
      <c r="A7" s="1962"/>
      <c r="B7" s="3006"/>
      <c r="C7" s="1966" t="s">
        <v>1625</v>
      </c>
      <c r="D7" s="1044">
        <f ca="1">结果表!H102</f>
        <v>22180</v>
      </c>
      <c r="E7" s="1962"/>
    </row>
    <row r="8" spans="1:5" ht="15.75">
      <c r="A8" s="1962"/>
      <c r="B8" s="3007" t="str">
        <f>结果表!E103</f>
        <v>2.估价师知悉的法定优先受偿款</v>
      </c>
      <c r="C8" s="1967" t="s">
        <v>1626</v>
      </c>
      <c r="D8" s="1044">
        <f>结果表!H103</f>
        <v>0</v>
      </c>
      <c r="E8" s="1962"/>
    </row>
    <row r="9" spans="1:5" ht="15.75">
      <c r="A9" s="1962"/>
      <c r="B9" s="300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0" t="str">
        <f>结果表!E107</f>
        <v>3.房地产抵押价值</v>
      </c>
      <c r="C13" s="1970" t="s">
        <v>1623</v>
      </c>
      <c r="D13" s="1046">
        <f ca="1">结果表!H107</f>
        <v>776</v>
      </c>
      <c r="E13" s="1962"/>
    </row>
    <row r="14" spans="1:5" ht="15.75">
      <c r="A14" s="1962"/>
      <c r="B14" s="3001"/>
      <c r="C14" s="1965" t="s">
        <v>1624</v>
      </c>
      <c r="D14" s="1043" t="str">
        <f ca="1">NUMBERSTRING(INT(D13*10000),2)&amp;"元整"</f>
        <v>柒佰柒拾陆万元整</v>
      </c>
      <c r="E14" s="1962"/>
    </row>
    <row r="15" spans="1:5" ht="15">
      <c r="A15" s="1962"/>
      <c r="B15" s="3006"/>
      <c r="C15" s="1966" t="s">
        <v>1634</v>
      </c>
      <c r="D15" s="1055">
        <f ca="1">结果表!H108</f>
        <v>2934</v>
      </c>
      <c r="E15" s="1962"/>
    </row>
    <row r="16" spans="1:5" ht="15">
      <c r="A16" s="1962"/>
      <c r="B16" s="3007" t="str">
        <f>结果表!E109</f>
        <v>——</v>
      </c>
      <c r="C16" s="1970" t="s">
        <v>1635</v>
      </c>
      <c r="D16" s="1971" t="str">
        <f>结果表!H109</f>
        <v>——</v>
      </c>
      <c r="E16" s="1962"/>
    </row>
    <row r="17" spans="1:5" ht="15.75">
      <c r="A17" s="1962"/>
      <c r="B17" s="3008"/>
      <c r="C17" s="1965" t="s">
        <v>1636</v>
      </c>
      <c r="D17" s="1043" t="e">
        <f>NUMBERSTRING(INT(D16*10000),2)&amp;"元整"</f>
        <v>#VALUE!</v>
      </c>
      <c r="E17" s="1962"/>
    </row>
    <row r="18" spans="1:5" ht="15">
      <c r="A18" s="1962"/>
      <c r="B18" s="3009"/>
      <c r="C18" s="1966" t="s">
        <v>1625</v>
      </c>
      <c r="D18" s="1055" t="str">
        <f>结果表!H110</f>
        <v>——</v>
      </c>
      <c r="E18" s="1962"/>
    </row>
    <row r="19" spans="1:5" ht="15.75">
      <c r="A19" s="1962"/>
      <c r="B19" s="3000" t="str">
        <f>结果表!E111</f>
        <v>——</v>
      </c>
      <c r="C19" s="1970" t="s">
        <v>1623</v>
      </c>
      <c r="D19" s="1044" t="str">
        <f>结果表!H111</f>
        <v>——</v>
      </c>
      <c r="E19" s="1962"/>
    </row>
    <row r="20" spans="1:5" ht="15.75">
      <c r="A20" s="1962"/>
      <c r="B20" s="3001"/>
      <c r="C20" s="1965" t="s">
        <v>1636</v>
      </c>
      <c r="D20" s="1043" t="e">
        <f>NUMBERSTRING(INT(D19*10000),2)&amp;"元整"</f>
        <v>#VALUE!</v>
      </c>
      <c r="E20" s="1962"/>
    </row>
    <row r="21" spans="1:5" ht="15.75" thickBot="1">
      <c r="A21" s="1962"/>
      <c r="B21" s="300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3" t="s">
        <v>1150</v>
      </c>
      <c r="C1" s="3313"/>
      <c r="D1" s="3313"/>
      <c r="E1" s="3313"/>
      <c r="F1" s="3313"/>
      <c r="G1" s="3312" t="s">
        <v>1151</v>
      </c>
      <c r="H1" s="3312"/>
      <c r="I1" s="3312"/>
      <c r="J1" s="3312"/>
      <c r="K1" s="3312"/>
      <c r="L1" s="3312"/>
      <c r="N1" s="3312" t="s">
        <v>1152</v>
      </c>
      <c r="O1" s="3312"/>
      <c r="P1" s="3312"/>
      <c r="Q1" s="3312"/>
      <c r="R1" s="1449"/>
      <c r="S1" s="3312" t="s">
        <v>1153</v>
      </c>
      <c r="T1" s="3312"/>
      <c r="U1" s="3312"/>
      <c r="V1" s="3312"/>
      <c r="X1" s="3311" t="s">
        <v>1154</v>
      </c>
      <c r="Y1" s="3312"/>
      <c r="Z1" s="3312"/>
      <c r="AA1" s="3312"/>
      <c r="AB1" s="3312"/>
      <c r="AD1" s="3311" t="s">
        <v>1155</v>
      </c>
      <c r="AE1" s="3312"/>
      <c r="AF1" s="3312"/>
      <c r="AG1" s="3312"/>
      <c r="AH1" s="331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4">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09"/>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09"/>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0"/>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08">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09"/>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09"/>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0"/>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08">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09"/>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09"/>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0"/>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5">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6"/>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6"/>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17"/>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08">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09"/>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09"/>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0"/>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08">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09">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09">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0">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08">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09">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09">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0">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08">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09">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09">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0">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08">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09">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09">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0">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08">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09">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09">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0">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08">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09">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09">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0">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08">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09">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09">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0">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08">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09">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09">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0">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0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09">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09">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0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09">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09">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0">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9" t="s">
        <v>3006</v>
      </c>
      <c r="D1" s="3320"/>
      <c r="E1" s="3320"/>
      <c r="F1" s="3320"/>
      <c r="G1" s="3320"/>
      <c r="H1" s="3320"/>
      <c r="I1" s="3320"/>
      <c r="J1" s="3320"/>
      <c r="K1" s="3320"/>
      <c r="L1" s="3320"/>
      <c r="M1" s="3320"/>
      <c r="N1" s="3320"/>
      <c r="O1" s="3320"/>
      <c r="P1" s="3320"/>
      <c r="Q1" s="3320"/>
      <c r="R1" s="3320"/>
      <c r="S1" s="3321"/>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4054</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15330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2644.5600000000004</v>
      </c>
      <c r="C22" s="3180" t="s">
        <v>33</v>
      </c>
      <c r="D22" s="3181"/>
      <c r="E22" s="3181"/>
      <c r="F22" s="3181"/>
      <c r="G22" s="3181"/>
      <c r="H22" s="3181"/>
      <c r="I22" s="3181"/>
      <c r="J22" s="3181"/>
      <c r="K22" s="3181"/>
      <c r="L22" s="3181"/>
      <c r="M22" s="3181"/>
      <c r="N22" s="3181"/>
      <c r="O22" s="3181"/>
      <c r="P22" s="3181"/>
      <c r="Q22" s="3318"/>
      <c r="R22" s="716">
        <f ca="1">ROUND(S22*10000/B22,0)</f>
        <v>15330</v>
      </c>
      <c r="S22" s="24">
        <f ca="1">SUM(S24:S10000)</f>
        <v>4054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c r="E24" s="719">
        <v>1</v>
      </c>
      <c r="F24" s="720"/>
      <c r="G24" s="719">
        <v>1</v>
      </c>
      <c r="H24" s="720"/>
      <c r="I24" s="719">
        <v>1</v>
      </c>
      <c r="J24" s="720"/>
      <c r="K24" s="719">
        <v>1</v>
      </c>
      <c r="L24" s="720"/>
      <c r="M24" s="719">
        <v>1</v>
      </c>
      <c r="N24" s="720"/>
      <c r="O24" s="719">
        <v>1</v>
      </c>
      <c r="P24" s="720">
        <v>1</v>
      </c>
      <c r="Q24" s="719">
        <v>1</v>
      </c>
      <c r="R24" s="721">
        <f ca="1">结果表!G20</f>
        <v>22184</v>
      </c>
      <c r="S24" s="719">
        <f t="shared" ref="S24:S54" ca="1" si="11">ROUND(R24*B24/10000,0)</f>
        <v>776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2294.6900000000005</v>
      </c>
      <c r="C25" s="24">
        <f>IF(B25="",1,(LOOKUP(B25,$3:$3,$4:$4)-LOOKUP($B$24,$3:$3,$4:$4)+100)/100)</f>
        <v>0.92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14286</v>
      </c>
      <c r="S25" s="361">
        <f t="shared" ca="1" si="11"/>
        <v>3278</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29487</v>
      </c>
      <c r="C2" s="2" t="s">
        <v>133</v>
      </c>
      <c r="D2" s="243"/>
      <c r="E2" s="243"/>
      <c r="F2" s="243"/>
      <c r="G2" s="243"/>
    </row>
    <row r="3" spans="1:7" s="244" customFormat="1" ht="18" customHeight="1" thickBot="1">
      <c r="A3" s="247" t="s">
        <v>85</v>
      </c>
      <c r="B3" s="248">
        <f ca="1">ROUND(B2*10000/'数据-汇总表'!E3,0)</f>
        <v>111501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v>
      </c>
      <c r="D10" s="1035">
        <f>'数据-汇总表'!E6</f>
        <v>2644.5600000000004</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2644.5600000000004</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688</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53</v>
      </c>
      <c r="D37" s="261">
        <f>'数据-汇总表'!E3</f>
        <v>2644.5600000000004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17</v>
      </c>
      <c r="D42" s="282"/>
      <c r="E42" s="282"/>
      <c r="F42" s="283"/>
      <c r="G42" s="3185" t="s">
        <v>121</v>
      </c>
    </row>
    <row r="43" spans="1:7" ht="13.5" customHeight="1">
      <c r="A43" s="954" t="s">
        <v>792</v>
      </c>
      <c r="B43" s="259" t="s">
        <v>1064</v>
      </c>
      <c r="C43" s="282">
        <f ca="1">ROUND(IF('数据-取费表'!B22&lt;=1,C39*F22*'数据-取费表'!B21/2,C39*(POWER((1+F22),'数据-取费表'!B21/2)-1)),0)</f>
        <v>0</v>
      </c>
      <c r="D43" s="282"/>
      <c r="E43" s="282"/>
      <c r="F43" s="283"/>
      <c r="G43" s="3186"/>
    </row>
    <row r="44" spans="1:7" ht="13.5" customHeight="1">
      <c r="A44" s="954" t="s">
        <v>793</v>
      </c>
      <c r="B44" s="259" t="s">
        <v>1066</v>
      </c>
      <c r="C44" s="282">
        <f ca="1">ROUND(IF('数据-取费表'!B22&lt;=1,C40*F22*'数据-取费表'!B21/2,C40*(POWER((1+F22),'数据-取费表'!B21/2)-1)),4)</f>
        <v>4.0000000000000002E-4</v>
      </c>
      <c r="D44" s="282"/>
      <c r="E44" s="282"/>
      <c r="F44" s="283"/>
      <c r="G44" s="3187"/>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1042</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1021</v>
      </c>
      <c r="D51" s="276"/>
      <c r="E51" s="276"/>
      <c r="F51" s="308"/>
      <c r="G51" s="278" t="s">
        <v>64</v>
      </c>
    </row>
    <row r="52" spans="1:7" s="252" customFormat="1" ht="16.5" thickBot="1">
      <c r="A52" s="309" t="s">
        <v>65</v>
      </c>
      <c r="B52" s="310"/>
      <c r="C52" s="311">
        <f ca="1">C31+C51</f>
        <v>29487</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871</v>
      </c>
      <c r="B1" s="332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workbookViewId="0">
      <selection activeCell="E19" sqref="E19"/>
    </sheetView>
  </sheetViews>
  <sheetFormatPr defaultRowHeight="13.5"/>
  <sheetData>
    <row r="1" spans="1:3">
      <c r="A1" s="2972" t="s">
        <v>3086</v>
      </c>
      <c r="B1">
        <v>13</v>
      </c>
      <c r="C1">
        <v>57.15</v>
      </c>
    </row>
    <row r="2" spans="1:3">
      <c r="B2">
        <v>14</v>
      </c>
      <c r="C2">
        <v>57.15</v>
      </c>
    </row>
    <row r="3" spans="1:3">
      <c r="B3">
        <v>35</v>
      </c>
      <c r="C3">
        <v>121.11</v>
      </c>
    </row>
    <row r="4" spans="1:3">
      <c r="B4">
        <v>35</v>
      </c>
      <c r="C4">
        <v>114.46</v>
      </c>
    </row>
    <row r="5" spans="1:3">
      <c r="A5" s="2972" t="s">
        <v>3087</v>
      </c>
      <c r="B5">
        <v>1</v>
      </c>
      <c r="C5">
        <v>184.32</v>
      </c>
    </row>
    <row r="6" spans="1:3">
      <c r="B6">
        <v>2</v>
      </c>
      <c r="C6">
        <v>61.11</v>
      </c>
    </row>
    <row r="7" spans="1:3">
      <c r="B7">
        <v>3</v>
      </c>
      <c r="C7">
        <v>61.11</v>
      </c>
    </row>
    <row r="8" spans="1:3">
      <c r="B8">
        <v>4</v>
      </c>
      <c r="C8">
        <v>61.11</v>
      </c>
    </row>
    <row r="9" spans="1:3">
      <c r="B9">
        <v>5</v>
      </c>
      <c r="C9">
        <v>61.11</v>
      </c>
    </row>
    <row r="10" spans="1:3">
      <c r="B10">
        <v>6</v>
      </c>
      <c r="C10">
        <v>61.11</v>
      </c>
    </row>
    <row r="11" spans="1:3">
      <c r="B11" s="2997">
        <v>7</v>
      </c>
      <c r="C11" s="2997">
        <v>201.28</v>
      </c>
    </row>
    <row r="12" spans="1:3">
      <c r="B12" s="2997">
        <v>8</v>
      </c>
      <c r="C12" s="2997">
        <v>63.91</v>
      </c>
    </row>
    <row r="13" spans="1:3">
      <c r="B13" s="2997">
        <v>9</v>
      </c>
      <c r="C13" s="2997">
        <v>63.91</v>
      </c>
    </row>
    <row r="14" spans="1:3">
      <c r="B14" s="2997">
        <v>10</v>
      </c>
      <c r="C14" s="2997">
        <v>63.91</v>
      </c>
    </row>
    <row r="15" spans="1:3">
      <c r="B15" s="2997">
        <v>11</v>
      </c>
      <c r="C15" s="2997">
        <v>63.91</v>
      </c>
    </row>
    <row r="16" spans="1:3">
      <c r="B16" s="2997">
        <v>12</v>
      </c>
      <c r="C16" s="2997">
        <v>63.91</v>
      </c>
    </row>
    <row r="17" spans="2:3">
      <c r="B17" s="2997">
        <v>13</v>
      </c>
      <c r="C17" s="2997">
        <v>63.91</v>
      </c>
    </row>
    <row r="18" spans="2:3">
      <c r="B18" s="2997">
        <v>14</v>
      </c>
      <c r="C18" s="2997">
        <v>47.94</v>
      </c>
    </row>
    <row r="19" spans="2:3">
      <c r="B19" s="2997">
        <v>15</v>
      </c>
      <c r="C19" s="2997">
        <v>52.73</v>
      </c>
    </row>
    <row r="20" spans="2:3">
      <c r="B20" s="2997">
        <v>16</v>
      </c>
      <c r="C20" s="2997">
        <v>63.91</v>
      </c>
    </row>
    <row r="21" spans="2:3">
      <c r="B21" s="2997">
        <v>17</v>
      </c>
      <c r="C21" s="2997">
        <v>63.91</v>
      </c>
    </row>
    <row r="22" spans="2:3">
      <c r="B22" s="2998">
        <v>18</v>
      </c>
      <c r="C22" s="2998">
        <v>43.94</v>
      </c>
    </row>
    <row r="23" spans="2:3">
      <c r="B23">
        <v>19</v>
      </c>
      <c r="C23">
        <v>43.94</v>
      </c>
    </row>
    <row r="24" spans="2:3">
      <c r="B24">
        <v>20</v>
      </c>
      <c r="C24">
        <v>194.5</v>
      </c>
    </row>
    <row r="25" spans="2:3">
      <c r="B25">
        <v>21</v>
      </c>
      <c r="C25">
        <v>59</v>
      </c>
    </row>
    <row r="26" spans="2:3">
      <c r="B26">
        <v>22</v>
      </c>
      <c r="C26">
        <v>59</v>
      </c>
    </row>
    <row r="27" spans="2:3">
      <c r="B27">
        <v>23</v>
      </c>
      <c r="C27">
        <v>59</v>
      </c>
    </row>
    <row r="28" spans="2:3">
      <c r="B28">
        <v>24</v>
      </c>
      <c r="C28">
        <v>59</v>
      </c>
    </row>
    <row r="29" spans="2:3">
      <c r="B29">
        <v>25</v>
      </c>
      <c r="C29">
        <v>59</v>
      </c>
    </row>
    <row r="30" spans="2:3">
      <c r="B30">
        <v>26</v>
      </c>
      <c r="C30">
        <v>59</v>
      </c>
    </row>
    <row r="31" spans="2:3">
      <c r="B31">
        <v>27</v>
      </c>
      <c r="C31">
        <v>59</v>
      </c>
    </row>
    <row r="32" spans="2:3">
      <c r="B32">
        <v>28</v>
      </c>
      <c r="C32">
        <v>59</v>
      </c>
    </row>
    <row r="33" spans="2:3">
      <c r="B33">
        <v>29</v>
      </c>
      <c r="C33">
        <v>114.01</v>
      </c>
    </row>
    <row r="34" spans="2:3">
      <c r="B34">
        <v>30</v>
      </c>
      <c r="C34">
        <v>38.880000000000003</v>
      </c>
    </row>
    <row r="35" spans="2:3">
      <c r="B35">
        <v>31</v>
      </c>
      <c r="C35">
        <v>38.880000000000003</v>
      </c>
    </row>
    <row r="36" spans="2:3">
      <c r="B36">
        <v>32</v>
      </c>
      <c r="C36">
        <v>56.55</v>
      </c>
    </row>
    <row r="37" spans="2:3">
      <c r="B37">
        <v>33</v>
      </c>
      <c r="C37">
        <v>67.849999999999994</v>
      </c>
    </row>
    <row r="38" spans="2:3">
      <c r="B38">
        <v>34</v>
      </c>
      <c r="C38">
        <v>45.57</v>
      </c>
    </row>
    <row r="39" spans="2:3">
      <c r="B39">
        <v>35</v>
      </c>
      <c r="C39">
        <v>56.55</v>
      </c>
    </row>
    <row r="40" spans="2:3">
      <c r="B40">
        <v>36</v>
      </c>
      <c r="C40">
        <v>53.01</v>
      </c>
    </row>
    <row r="41" spans="2:3">
      <c r="B41">
        <v>37</v>
      </c>
      <c r="C41">
        <v>32.6</v>
      </c>
    </row>
    <row r="42" spans="2:3">
      <c r="B42">
        <v>38</v>
      </c>
      <c r="C42">
        <v>32.6</v>
      </c>
    </row>
    <row r="43" spans="2:3">
      <c r="B43">
        <v>39</v>
      </c>
      <c r="C43">
        <v>32.6</v>
      </c>
    </row>
    <row r="44" spans="2:3">
      <c r="B44">
        <v>40</v>
      </c>
      <c r="C44">
        <v>32.6</v>
      </c>
    </row>
    <row r="45" spans="2:3">
      <c r="B45" s="2997">
        <v>41</v>
      </c>
      <c r="C45" s="2997">
        <v>35.46</v>
      </c>
    </row>
    <row r="46" spans="2:3">
      <c r="B46" s="2997">
        <v>42</v>
      </c>
      <c r="C46" s="2997">
        <v>35.46</v>
      </c>
    </row>
    <row r="47" spans="2:3">
      <c r="B47" s="2997">
        <v>43</v>
      </c>
      <c r="C47" s="2997">
        <v>61</v>
      </c>
    </row>
    <row r="48" spans="2:3">
      <c r="B48" s="2997">
        <v>44</v>
      </c>
      <c r="C48" s="2997">
        <v>61</v>
      </c>
    </row>
    <row r="49" spans="2:3">
      <c r="B49" s="2997">
        <v>45</v>
      </c>
      <c r="C49" s="2997">
        <v>30.5</v>
      </c>
    </row>
    <row r="50" spans="2:3">
      <c r="B50" s="2997">
        <v>46</v>
      </c>
      <c r="C50" s="2997">
        <v>45.75</v>
      </c>
    </row>
    <row r="51" spans="2:3">
      <c r="B51" s="2997">
        <v>47</v>
      </c>
      <c r="C51" s="2997">
        <v>45.75</v>
      </c>
    </row>
    <row r="52" spans="2:3">
      <c r="B52" s="2997">
        <v>48</v>
      </c>
      <c r="C52" s="2997">
        <v>30.5</v>
      </c>
    </row>
    <row r="53" spans="2:3">
      <c r="B53">
        <v>49</v>
      </c>
      <c r="C53">
        <v>56.09</v>
      </c>
    </row>
    <row r="54" spans="2:3">
      <c r="B54">
        <v>50</v>
      </c>
      <c r="C54">
        <v>44.17</v>
      </c>
    </row>
    <row r="55" spans="2:3">
      <c r="B55">
        <v>51</v>
      </c>
      <c r="C55">
        <v>39.97</v>
      </c>
    </row>
    <row r="56" spans="2:3">
      <c r="B56">
        <v>52</v>
      </c>
      <c r="C56">
        <v>39.97</v>
      </c>
    </row>
    <row r="57" spans="2:3">
      <c r="B57">
        <v>53</v>
      </c>
      <c r="C57">
        <v>44.17</v>
      </c>
    </row>
    <row r="58" spans="2:3">
      <c r="B58">
        <v>54</v>
      </c>
      <c r="C58">
        <v>56.09</v>
      </c>
    </row>
    <row r="59" spans="2:3">
      <c r="B59">
        <v>55</v>
      </c>
      <c r="C59">
        <v>28.05</v>
      </c>
    </row>
    <row r="60" spans="2:3">
      <c r="B60">
        <v>56</v>
      </c>
      <c r="C60">
        <v>28.05</v>
      </c>
    </row>
    <row r="61" spans="2:3">
      <c r="B61">
        <v>57</v>
      </c>
      <c r="C61">
        <v>56.09</v>
      </c>
    </row>
    <row r="62" spans="2:3">
      <c r="B62">
        <v>58</v>
      </c>
      <c r="C62">
        <v>56.09</v>
      </c>
    </row>
    <row r="63" spans="2:3">
      <c r="C63">
        <f>SUM(C5:C10,C22:C44,C53:C62)</f>
        <v>2294.6900000000005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9" t="str">
        <f>IF(项目基本情况!B9="房地产市场价值","估价结果一览表","结果表-2")</f>
        <v>估价结果一览表</v>
      </c>
      <c r="B1" s="3019"/>
      <c r="C1" s="3019"/>
      <c r="D1" s="3019"/>
      <c r="E1" s="3019"/>
      <c r="F1" s="3019"/>
      <c r="G1" s="3019"/>
      <c r="H1" s="3019"/>
      <c r="I1" s="3019"/>
    </row>
    <row r="2" spans="1:9" ht="30" customHeight="1" thickTop="1">
      <c r="A2" s="3020" t="s">
        <v>1641</v>
      </c>
      <c r="B2" s="3020" t="s">
        <v>1642</v>
      </c>
      <c r="C2" s="3020" t="s">
        <v>1643</v>
      </c>
      <c r="D2" s="3020" t="str">
        <f>结果表!D116</f>
        <v>出让国有建设用地使用权价值</v>
      </c>
      <c r="E2" s="3020"/>
      <c r="F2" s="3020" t="str">
        <f>结果表!F116</f>
        <v>在建建筑物价值</v>
      </c>
      <c r="G2" s="3020"/>
      <c r="H2" s="3020" t="str">
        <f>IF(项目基本情况!B9="房地产市场价值","房地产市场价值","房地产价值")</f>
        <v>房地产市场价值</v>
      </c>
      <c r="I2" s="3020"/>
    </row>
    <row r="3" spans="1:9" ht="15">
      <c r="A3" s="3014"/>
      <c r="B3" s="3014"/>
      <c r="C3" s="3014"/>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2644.5600000000004</v>
      </c>
      <c r="C4" s="1047">
        <f>项目基本情况!C18</f>
        <v>676.55</v>
      </c>
      <c r="D4" s="1047">
        <f ca="1">结果表!D118</f>
        <v>481</v>
      </c>
      <c r="E4" s="1047">
        <f ca="1">结果表!E118</f>
        <v>13748</v>
      </c>
      <c r="F4" s="1047">
        <f ca="1">结果表!F118</f>
        <v>295</v>
      </c>
      <c r="G4" s="1047">
        <f ca="1">结果表!G118</f>
        <v>8432</v>
      </c>
      <c r="H4" s="1047">
        <f ca="1">结果表!H118</f>
        <v>776</v>
      </c>
      <c r="I4" s="1047">
        <f ca="1">结果表!I118</f>
        <v>22180</v>
      </c>
    </row>
    <row r="5" spans="1:9" ht="30" customHeight="1">
      <c r="A5" s="3014" t="s">
        <v>1640</v>
      </c>
      <c r="B5" s="3014"/>
      <c r="C5" s="3014"/>
      <c r="D5" s="3015" t="str">
        <f ca="1">结果表!D119</f>
        <v>肆佰捌拾壹万元整</v>
      </c>
      <c r="E5" s="3015"/>
      <c r="F5" s="3015" t="str">
        <f ca="1">结果表!F119</f>
        <v>贰佰玖拾伍万元整</v>
      </c>
      <c r="G5" s="3015"/>
      <c r="H5" s="3015" t="str">
        <f ca="1">结果表!H119</f>
        <v>柒佰柒拾陆万元整</v>
      </c>
      <c r="I5" s="3015"/>
    </row>
    <row r="6" spans="1:9" ht="15.75">
      <c r="A6" s="3013" t="str">
        <f>结果表!A120</f>
        <v/>
      </c>
      <c r="B6" s="3013"/>
      <c r="C6" s="3013"/>
      <c r="D6" s="3013">
        <f>结果表!D120</f>
        <v>0</v>
      </c>
      <c r="E6" s="3013"/>
      <c r="F6" s="3013"/>
      <c r="G6" s="3013"/>
      <c r="H6" s="3013"/>
      <c r="I6" s="3013"/>
    </row>
    <row r="7" spans="1:9" ht="15">
      <c r="A7" s="3014" t="s">
        <v>1640</v>
      </c>
      <c r="B7" s="3014"/>
      <c r="C7" s="3014"/>
      <c r="D7" s="3016" t="str">
        <f>结果表!D121</f>
        <v>零元整</v>
      </c>
      <c r="E7" s="3017"/>
      <c r="F7" s="3017"/>
      <c r="G7" s="3017"/>
      <c r="H7" s="3017"/>
      <c r="I7" s="3018"/>
    </row>
    <row r="8" spans="1:9" ht="15.75">
      <c r="A8" s="3013" t="str">
        <f>结果表!A122</f>
        <v/>
      </c>
      <c r="B8" s="3013"/>
      <c r="C8" s="3013"/>
      <c r="D8" s="3013">
        <f ca="1">结果表!D122</f>
        <v>776</v>
      </c>
      <c r="E8" s="3013"/>
      <c r="F8" s="3013"/>
      <c r="G8" s="3013"/>
      <c r="H8" s="3013"/>
      <c r="I8" s="3013"/>
    </row>
    <row r="9" spans="1:9" ht="15">
      <c r="A9" s="3014" t="s">
        <v>1640</v>
      </c>
      <c r="B9" s="3014"/>
      <c r="C9" s="3014"/>
      <c r="D9" s="3015" t="str">
        <f ca="1">结果表!D123</f>
        <v>柒佰柒拾陆万元整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1640</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1640</v>
      </c>
      <c r="B13" s="3010"/>
      <c r="C13" s="3010"/>
      <c r="D13" s="3011" t="e">
        <f>结果表!D127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7" t="s">
        <v>1662</v>
      </c>
      <c r="B1" s="3027"/>
      <c r="C1" s="3027"/>
      <c r="D1" s="3027"/>
    </row>
    <row r="2" spans="1:4" ht="18">
      <c r="A2" s="3028" t="s">
        <v>1646</v>
      </c>
      <c r="B2" s="3028"/>
      <c r="C2" s="3028"/>
      <c r="D2" s="3028"/>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28" t="s">
        <v>1652</v>
      </c>
      <c r="B6" s="3028"/>
      <c r="C6" s="3028"/>
      <c r="D6" s="302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5" t="s">
        <v>1669</v>
      </c>
      <c r="B15" s="3030" t="s">
        <v>136</v>
      </c>
      <c r="C15" s="3031"/>
    </row>
    <row r="16" spans="1:7" ht="13.5">
      <c r="A16" s="3036"/>
      <c r="B16" s="3030" t="s">
        <v>69</v>
      </c>
      <c r="C16" s="3031"/>
    </row>
    <row r="17" spans="1:3" ht="13.5">
      <c r="A17" s="3036"/>
      <c r="B17" s="3033" t="s">
        <v>1670</v>
      </c>
      <c r="C17" s="2003" t="s">
        <v>1669</v>
      </c>
    </row>
    <row r="18" spans="1:3" ht="13.5">
      <c r="A18" s="3036"/>
      <c r="B18" s="3033"/>
      <c r="C18" s="2003" t="s">
        <v>1671</v>
      </c>
    </row>
    <row r="19" spans="1:3" ht="13.5">
      <c r="A19" s="3036"/>
      <c r="B19" s="3033"/>
      <c r="C19" s="2003" t="s">
        <v>1672</v>
      </c>
    </row>
    <row r="20" spans="1:3" ht="13.5">
      <c r="A20" s="3037"/>
      <c r="B20" s="3032" t="s">
        <v>1673</v>
      </c>
      <c r="C20" s="3031"/>
    </row>
    <row r="21" spans="1:3" ht="13.5">
      <c r="A21" s="2004" t="s">
        <v>1674</v>
      </c>
      <c r="B21" s="2005"/>
      <c r="C21" s="2006"/>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2003" t="s">
        <v>1680</v>
      </c>
    </row>
    <row r="26" spans="1:3" ht="13.5">
      <c r="A26" s="3034"/>
      <c r="B26" s="3033"/>
      <c r="C26" s="2003" t="s">
        <v>1681</v>
      </c>
    </row>
    <row r="27" spans="1:3" ht="13.5">
      <c r="A27" s="3034"/>
      <c r="B27" s="3033"/>
      <c r="C27" s="2003" t="s">
        <v>1682</v>
      </c>
    </row>
    <row r="28" spans="1:3" ht="13.5">
      <c r="A28" s="3034"/>
      <c r="B28" s="3033"/>
      <c r="C28" s="2003" t="s">
        <v>1683</v>
      </c>
    </row>
    <row r="29" spans="1:3" ht="13.5">
      <c r="A29" s="3034"/>
      <c r="B29" s="3033"/>
      <c r="C29" s="2003" t="s">
        <v>1684</v>
      </c>
    </row>
    <row r="30" spans="1:3" ht="13.5">
      <c r="A30" s="3034"/>
      <c r="B30" s="3033"/>
      <c r="C30" s="2003" t="s">
        <v>1685</v>
      </c>
    </row>
    <row r="31" spans="1:3" ht="13.5">
      <c r="A31" s="3034"/>
      <c r="B31" s="3033"/>
      <c r="C31" s="2003" t="s">
        <v>1686</v>
      </c>
    </row>
    <row r="32" spans="1:3" ht="13.5">
      <c r="A32" s="3034"/>
      <c r="B32" s="3033"/>
      <c r="C32" s="2003" t="s">
        <v>1687</v>
      </c>
    </row>
    <row r="33" spans="1:3" ht="13.5">
      <c r="A33" s="3034"/>
      <c r="B33" s="303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38" t="s">
        <v>846</v>
      </c>
      <c r="B25" s="3038"/>
      <c r="C25" s="3038"/>
      <c r="D25" s="3038"/>
      <c r="E25" s="3038"/>
      <c r="F25" s="3038"/>
      <c r="G25" s="3038"/>
    </row>
    <row r="26" spans="1:7" s="1028" customFormat="1" ht="24" customHeight="1">
      <c r="A26" s="3039" t="s">
        <v>847</v>
      </c>
      <c r="B26" s="3039"/>
      <c r="C26" s="3040"/>
      <c r="D26" s="3041" t="s">
        <v>848</v>
      </c>
      <c r="E26" s="3039"/>
      <c r="F26" s="303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2018-04-27T09:15:08Z</dcterms:modified>
</cp:coreProperties>
</file>