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7" activeTab="4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办公" sheetId="78"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收益法 (元) 办公" sheetId="77"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29">'收益法 (元) 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Y7" i="1"/>
  <c r="D63" i="79" l="1"/>
  <c r="I14" i="3" s="1"/>
  <c r="I13" i="3" l="1"/>
  <c r="A3" i="3" s="1"/>
  <c r="A126" i="78" l="1"/>
  <c r="A124" i="78"/>
  <c r="A122" i="78"/>
  <c r="A120" i="78"/>
  <c r="E111" i="78"/>
  <c r="H112" i="78" s="1"/>
  <c r="E109" i="78"/>
  <c r="H109" i="78" s="1"/>
  <c r="E107" i="78"/>
  <c r="H106" i="78"/>
  <c r="H105" i="78"/>
  <c r="H104" i="78"/>
  <c r="D101" i="78"/>
  <c r="C101" i="78"/>
  <c r="C91" i="78"/>
  <c r="E90" i="78"/>
  <c r="D89" i="78"/>
  <c r="C89" i="78" s="1"/>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Q72" i="77"/>
  <c r="Q59" i="77"/>
  <c r="K59" i="77"/>
  <c r="P74" i="77" s="1"/>
  <c r="F59" i="77"/>
  <c r="Q58" i="77"/>
  <c r="Q51" i="77"/>
  <c r="J50" i="77"/>
  <c r="M47" i="77"/>
  <c r="D46" i="77"/>
  <c r="F33" i="77"/>
  <c r="F61" i="77" s="1"/>
  <c r="F31" i="77"/>
  <c r="F23" i="77"/>
  <c r="D24" i="77" s="1"/>
  <c r="D23" i="77"/>
  <c r="D22" i="77"/>
  <c r="F21" i="77"/>
  <c r="F20" i="77"/>
  <c r="M19" i="77"/>
  <c r="F18" i="77"/>
  <c r="M17" i="77"/>
  <c r="F17" i="77"/>
  <c r="F15" i="77"/>
  <c r="H103" i="78" l="1"/>
  <c r="D120" i="78" s="1"/>
  <c r="H111" i="78"/>
  <c r="D126" i="78" s="1"/>
  <c r="D127" i="78" s="1"/>
  <c r="C18" i="78"/>
  <c r="D18" i="78" s="1"/>
  <c r="C92" i="78"/>
  <c r="C94" i="78"/>
  <c r="K120" i="78"/>
  <c r="D121" i="78"/>
  <c r="D124" i="78"/>
  <c r="D125" i="78" s="1"/>
  <c r="H110" i="78"/>
  <c r="M49" i="78"/>
  <c r="P61" i="77"/>
  <c r="B25" i="31"/>
  <c r="B24" i="31"/>
  <c r="A25" i="31"/>
  <c r="A24" i="31"/>
  <c r="N7" i="1"/>
  <c r="F20" i="6"/>
  <c r="C34" i="34" s="1"/>
  <c r="F19" i="6"/>
  <c r="C33" i="33" s="1"/>
  <c r="L66" i="78" l="1"/>
  <c r="M66" i="78" s="1"/>
  <c r="L65" i="78"/>
  <c r="M65" i="78" s="1"/>
  <c r="L64" i="78"/>
  <c r="M64" i="78" s="1"/>
  <c r="L68" i="78"/>
  <c r="M68" i="78" s="1"/>
  <c r="L67" i="78"/>
  <c r="M67" i="78" s="1"/>
  <c r="L63" i="78"/>
  <c r="M63" i="78" s="1"/>
  <c r="M69" i="78" s="1"/>
  <c r="N69" i="78" s="1"/>
  <c r="AH5" i="7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7" i="76"/>
  <c r="E7" i="76"/>
  <c r="E13" i="76"/>
  <c r="E11" i="76"/>
  <c r="E10" i="76"/>
  <c r="B12" i="76"/>
  <c r="B9" i="76"/>
  <c r="B13" i="76"/>
  <c r="E9" i="76"/>
  <c r="B8" i="76"/>
  <c r="B11" i="76"/>
  <c r="E12" i="76"/>
  <c r="E8" i="76"/>
  <c r="B10" i="76"/>
  <c r="C76" i="9" l="1"/>
  <c r="I107" i="40" l="1"/>
  <c r="K6" i="4" l="1"/>
  <c r="M56" i="78" l="1"/>
  <c r="J56" i="78"/>
  <c r="J57" i="78" s="1"/>
  <c r="J59" i="78" s="1"/>
  <c r="J61" i="78" s="1"/>
  <c r="N56" i="78"/>
  <c r="K56" i="78"/>
  <c r="B22" i="3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3" i="73"/>
  <c r="F5" i="73"/>
  <c r="F3" i="73"/>
  <c r="F4" i="73"/>
  <c r="F6" i="73"/>
  <c r="I1" i="73" l="1"/>
  <c r="B39" i="1" s="1"/>
  <c r="D6" i="73"/>
  <c r="D4" i="73"/>
  <c r="D5" i="73"/>
  <c r="D7" i="73"/>
  <c r="M11" i="77" l="1"/>
  <c r="J10" i="77" s="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S149" i="31" s="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U34" i="34"/>
  <c r="H39" i="33"/>
  <c r="AB39" i="33" s="1"/>
  <c r="U35" i="33"/>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6" i="31"/>
  <c r="U14" i="40"/>
  <c r="AC32" i="36"/>
  <c r="AC33" i="36"/>
  <c r="U35" i="35"/>
  <c r="AA12" i="35"/>
  <c r="W14" i="37"/>
  <c r="AB28" i="37"/>
  <c r="U33" i="37"/>
  <c r="U39" i="37"/>
  <c r="W26" i="37"/>
  <c r="AC8" i="37"/>
  <c r="U26" i="37"/>
  <c r="W47" i="34"/>
  <c r="AB13" i="34"/>
  <c r="W37" i="34"/>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51" i="3"/>
  <c r="AZ55"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F27" i="6" s="1"/>
  <c r="BR5" i="3"/>
  <c r="AZ380" i="3"/>
  <c r="AZ384" i="3"/>
  <c r="AZ388" i="3"/>
  <c r="AZ392" i="3"/>
  <c r="AZ50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56" i="3"/>
  <c r="AZ259" i="3"/>
  <c r="AZ280" i="3"/>
  <c r="AZ296" i="3"/>
  <c r="AZ114" i="3"/>
  <c r="AZ130"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U33" i="33" l="1"/>
  <c r="S34" i="34"/>
  <c r="W12" i="34"/>
  <c r="AC12" i="34"/>
  <c r="U12" i="35"/>
  <c r="AB12" i="35"/>
  <c r="AB34" i="35"/>
  <c r="U34" i="35"/>
  <c r="AC12" i="36"/>
  <c r="W12" i="36"/>
  <c r="AB44" i="39"/>
  <c r="U44" i="39"/>
  <c r="AC37" i="39"/>
  <c r="W37" i="39"/>
  <c r="AC12" i="40"/>
  <c r="W12" i="40"/>
  <c r="U23" i="35"/>
  <c r="AB23" i="35"/>
  <c r="AB9" i="36"/>
  <c r="U9" i="36"/>
  <c r="AC24" i="36"/>
  <c r="W24" i="36"/>
  <c r="AC43" i="39"/>
  <c r="W43" i="39"/>
  <c r="U45" i="39"/>
  <c r="AB45" i="39"/>
  <c r="AZ521" i="3"/>
  <c r="AZ581" i="3"/>
  <c r="BA551" i="3"/>
  <c r="BL550" i="3"/>
  <c r="BA550" i="3"/>
  <c r="BL548" i="3"/>
  <c r="AZ548" i="3" s="1"/>
  <c r="F7" i="1"/>
  <c r="G7" i="1" s="1"/>
  <c r="AZ403" i="3"/>
  <c r="AZ406" i="3"/>
  <c r="AZ419" i="3"/>
  <c r="AZ422" i="3"/>
  <c r="AZ435" i="3"/>
  <c r="AZ438" i="3"/>
  <c r="AZ442" i="3"/>
  <c r="AZ469" i="3"/>
  <c r="G28" i="6"/>
  <c r="AZ326" i="3"/>
  <c r="AZ311" i="3"/>
  <c r="AZ372" i="3"/>
  <c r="AZ347" i="3"/>
  <c r="AZ344" i="3"/>
  <c r="AZ337" i="3"/>
  <c r="AZ320" i="3"/>
  <c r="AZ313" i="3"/>
  <c r="AZ305" i="3"/>
  <c r="AZ362" i="3"/>
  <c r="AZ569" i="3"/>
  <c r="AZ577" i="3"/>
  <c r="AZ557" i="3"/>
  <c r="AZ516" i="3"/>
  <c r="AZ524" i="3"/>
  <c r="AZ532" i="3"/>
  <c r="AZ536" i="3"/>
  <c r="AZ544" i="3"/>
  <c r="AZ554" i="3"/>
  <c r="AZ558" i="3"/>
  <c r="AZ582" i="3"/>
  <c r="U13" i="33"/>
  <c r="AB45" i="33"/>
  <c r="AA14" i="34"/>
  <c r="AB46" i="34"/>
  <c r="AB11" i="36"/>
  <c r="U46" i="33"/>
  <c r="AA13" i="35"/>
  <c r="W33" i="37"/>
  <c r="AC34" i="36"/>
  <c r="AC11" i="40"/>
  <c r="U34" i="21"/>
  <c r="W33" i="33"/>
  <c r="F26" i="33"/>
  <c r="BL586" i="3"/>
  <c r="BL585" i="3"/>
  <c r="AZ585" i="3" s="1"/>
  <c r="F9" i="33"/>
  <c r="AA9" i="33" s="1"/>
  <c r="F12" i="34"/>
  <c r="J23" i="35"/>
  <c r="J36" i="35"/>
  <c r="H12" i="36"/>
  <c r="H24" i="36"/>
  <c r="AB24" i="36" s="1"/>
  <c r="H39"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AZ451" i="3"/>
  <c r="AZ454" i="3"/>
  <c r="AZ458" i="3"/>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486" i="3"/>
  <c r="AZ487" i="3"/>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M47" i="78"/>
  <c r="J51" i="77"/>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G1" i="77"/>
  <c r="I20" i="66"/>
  <c r="C51" i="10"/>
  <c r="A13" i="51" s="1"/>
  <c r="B11" i="72" s="1"/>
  <c r="A118" i="78"/>
  <c r="A2" i="78"/>
  <c r="G14" i="3"/>
  <c r="I4" i="6"/>
  <c r="G3" i="43" s="1"/>
  <c r="M20" i="15"/>
  <c r="M20" i="77"/>
  <c r="F34" i="77"/>
  <c r="F62" i="77" s="1"/>
  <c r="D78" i="9"/>
  <c r="D93" i="78"/>
  <c r="D78" i="78"/>
  <c r="AC17" i="34"/>
  <c r="S44" i="34"/>
  <c r="AA41" i="34"/>
  <c r="AC36" i="34"/>
  <c r="S35" i="34"/>
  <c r="S28" i="34"/>
  <c r="AB23" i="34"/>
  <c r="AB17" i="34"/>
  <c r="U43" i="33"/>
  <c r="W39" i="33"/>
  <c r="AA13" i="33"/>
  <c r="S9" i="33"/>
  <c r="AB37" i="34"/>
  <c r="W9" i="34"/>
  <c r="S9" i="34"/>
  <c r="W8" i="34"/>
  <c r="BA18" i="3"/>
  <c r="AZ18" i="3" s="1"/>
  <c r="BL15" i="3"/>
  <c r="AZ15" i="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6" i="43"/>
  <c r="K107" i="43"/>
  <c r="K102" i="43"/>
  <c r="K104" i="43"/>
  <c r="G107" i="43"/>
  <c r="G103" i="43"/>
  <c r="G104" i="43"/>
  <c r="I118" i="43"/>
  <c r="J118" i="43" s="1"/>
  <c r="K118" i="43" s="1"/>
  <c r="L118" i="43" s="1"/>
  <c r="M118" i="43" s="1"/>
  <c r="B116" i="43"/>
  <c r="C116" i="43" s="1"/>
  <c r="E57" i="40"/>
  <c r="D115" i="43"/>
  <c r="E115" i="43" s="1"/>
  <c r="F115" i="43" s="1"/>
  <c r="G115" i="43" s="1"/>
  <c r="H115" i="43" s="1"/>
  <c r="G106" i="43"/>
  <c r="K106" i="43"/>
  <c r="K105" i="43"/>
  <c r="C102" i="43"/>
  <c r="J106" i="43"/>
  <c r="N104" i="43"/>
  <c r="N107" i="43"/>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6" i="67"/>
  <c r="F38" i="67"/>
  <c r="F16" i="67"/>
  <c r="M28" i="67"/>
  <c r="M26" i="15"/>
  <c r="M28" i="15"/>
  <c r="G1" i="73"/>
  <c r="M23" i="67"/>
  <c r="M26" i="67"/>
  <c r="F9" i="67"/>
  <c r="F36" i="15"/>
  <c r="J15" i="67"/>
  <c r="C76" i="15"/>
  <c r="F7" i="67"/>
  <c r="M29" i="15"/>
  <c r="C76" i="67"/>
  <c r="F38" i="15"/>
  <c r="F13" i="15"/>
  <c r="M6" i="67"/>
  <c r="F36" i="67"/>
  <c r="L47" i="67"/>
  <c r="F8" i="15"/>
  <c r="F9" i="15"/>
  <c r="F7" i="15"/>
  <c r="M22" i="15"/>
  <c r="M29" i="67"/>
  <c r="F37" i="15"/>
  <c r="M9" i="15"/>
  <c r="M9" i="67"/>
  <c r="F43" i="15"/>
  <c r="F37" i="67"/>
  <c r="F7" i="77"/>
  <c r="F8" i="67"/>
  <c r="L48" i="67"/>
  <c r="F43" i="67"/>
  <c r="L48" i="15"/>
  <c r="F40" i="67"/>
  <c r="F26" i="15"/>
  <c r="F42" i="67"/>
  <c r="M24" i="15"/>
  <c r="M6" i="15"/>
  <c r="F13" i="67"/>
  <c r="F26" i="67"/>
  <c r="M8" i="67"/>
  <c r="F40" i="15"/>
  <c r="F16" i="15"/>
  <c r="F6" i="15"/>
  <c r="M29" i="77"/>
  <c r="M23" i="15"/>
  <c r="M24" i="67"/>
  <c r="F42" i="15"/>
  <c r="L47" i="15"/>
  <c r="M8" i="15"/>
  <c r="M22" i="67"/>
  <c r="J15" i="15"/>
  <c r="F43" i="77"/>
  <c r="C77" i="78" l="1"/>
  <c r="C74" i="78" s="1"/>
  <c r="U39" i="40"/>
  <c r="AB39" i="40"/>
  <c r="U12" i="36"/>
  <c r="AB12" i="36"/>
  <c r="AC23" i="35"/>
  <c r="W23" i="35"/>
  <c r="AC36" i="35"/>
  <c r="W36" i="35"/>
  <c r="S12" i="34"/>
  <c r="AA12" i="34"/>
  <c r="AA26" i="33"/>
  <c r="S26" i="33"/>
  <c r="F53" i="9"/>
  <c r="F52" i="78"/>
  <c r="F32" i="77"/>
  <c r="F60" i="77" s="1"/>
  <c r="F28" i="77"/>
  <c r="C28" i="77" s="1"/>
  <c r="D68" i="78"/>
  <c r="F54" i="78"/>
  <c r="F53" i="78"/>
  <c r="M18" i="77"/>
  <c r="F50" i="77"/>
  <c r="M7" i="77"/>
  <c r="F71" i="77"/>
  <c r="AA11" i="34"/>
  <c r="F105" i="43"/>
  <c r="B117" i="43"/>
  <c r="C117" i="43" s="1"/>
  <c r="I117" i="43"/>
  <c r="J117" i="43" s="1"/>
  <c r="K117" i="43" s="1"/>
  <c r="L117" i="43" s="1"/>
  <c r="M117" i="43" s="1"/>
  <c r="D118" i="43"/>
  <c r="E118" i="43" s="1"/>
  <c r="F118" i="43" s="1"/>
  <c r="C105" i="43"/>
  <c r="F107" i="43"/>
  <c r="I115" i="43"/>
  <c r="J115" i="43" s="1"/>
  <c r="K115" i="43" s="1"/>
  <c r="L115" i="43" s="1"/>
  <c r="M115" i="43" s="1"/>
  <c r="C106" i="43"/>
  <c r="E56" i="40"/>
  <c r="D22" i="43"/>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K4" i="4" s="1"/>
  <c r="B46" i="48" s="1"/>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76" i="77"/>
  <c r="F9" i="77"/>
  <c r="M28" i="77"/>
  <c r="F38" i="77"/>
  <c r="M27" i="77"/>
  <c r="F42" i="77"/>
  <c r="M9" i="77"/>
  <c r="F40" i="77"/>
  <c r="L48" i="77"/>
  <c r="C17" i="15"/>
  <c r="F8" i="77"/>
  <c r="L47" i="77"/>
  <c r="M8" i="77"/>
  <c r="M26" i="77"/>
  <c r="C16" i="67"/>
  <c r="C16" i="15"/>
  <c r="M22" i="77"/>
  <c r="F16" i="77"/>
  <c r="J15" i="77"/>
  <c r="F6" i="77"/>
  <c r="M24" i="77"/>
  <c r="F13" i="77"/>
  <c r="C14" i="77"/>
  <c r="F37" i="77"/>
  <c r="C17" i="77"/>
  <c r="M6" i="77"/>
  <c r="F36" i="77"/>
  <c r="M23" i="77"/>
  <c r="F26" i="77"/>
  <c r="F66" i="77" l="1"/>
  <c r="F70" i="77"/>
  <c r="F68" i="77"/>
  <c r="F51" i="77"/>
  <c r="C49" i="77" s="1"/>
  <c r="C48" i="77" s="1"/>
  <c r="C60" i="77" s="1"/>
  <c r="C27" i="77"/>
  <c r="L56" i="77"/>
  <c r="L57" i="77"/>
  <c r="L60" i="77"/>
  <c r="J53" i="77"/>
  <c r="J57" i="77"/>
  <c r="J55" i="77" s="1"/>
  <c r="J58" i="77" s="1"/>
  <c r="Q50" i="77" s="1"/>
  <c r="I54" i="77"/>
  <c r="F65" i="77"/>
  <c r="F64" i="77"/>
  <c r="C6" i="77"/>
  <c r="C10" i="77" s="1"/>
  <c r="C5" i="77" s="1"/>
  <c r="C38" i="77" s="1"/>
  <c r="M59" i="77"/>
  <c r="L59" i="77"/>
  <c r="N59" i="77"/>
  <c r="L58" i="77"/>
  <c r="Q71" i="77"/>
  <c r="J6" i="77"/>
  <c r="J5" i="77" s="1"/>
  <c r="J24" i="77" s="1"/>
  <c r="M20" i="6"/>
  <c r="I20" i="6" s="1"/>
  <c r="L18" i="78" s="1"/>
  <c r="B15" i="74" s="1"/>
  <c r="B71" i="72"/>
  <c r="B4" i="72"/>
  <c r="C18" i="77"/>
  <c r="C15" i="77"/>
  <c r="E7" i="70"/>
  <c r="C24" i="77"/>
  <c r="B5" i="62"/>
  <c r="D113" i="43"/>
  <c r="J22" i="43" s="1"/>
  <c r="S5" i="43"/>
  <c r="S7" i="43"/>
  <c r="S4" i="43"/>
  <c r="S6" i="43"/>
  <c r="T6" i="43" s="1"/>
  <c r="V6" i="43" s="1"/>
  <c r="S3" i="43"/>
  <c r="C23" i="43"/>
  <c r="C21" i="43" s="1"/>
  <c r="C29" i="43" s="1"/>
  <c r="S2"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H10" i="39"/>
  <c r="J10" i="39"/>
  <c r="C49" i="15"/>
  <c r="Q60" i="15"/>
  <c r="M16" i="1"/>
  <c r="N16" i="1" s="1"/>
  <c r="Q60" i="67"/>
  <c r="Q73" i="67"/>
  <c r="F27" i="11"/>
  <c r="Q61" i="67"/>
  <c r="Q74" i="67"/>
  <c r="C49" i="67"/>
  <c r="F1" i="67"/>
  <c r="Q52" i="67"/>
  <c r="C16" i="77"/>
  <c r="C66" i="77" l="1"/>
  <c r="C32" i="77"/>
  <c r="J18" i="77"/>
  <c r="J26" i="77"/>
  <c r="Q60" i="77"/>
  <c r="Q73" i="77"/>
  <c r="Q61" i="77"/>
  <c r="Q74" i="77"/>
  <c r="F1" i="77"/>
  <c r="Q52" i="77"/>
  <c r="Q66" i="77"/>
  <c r="Q57" i="77"/>
  <c r="M27" i="6"/>
  <c r="B73" i="72"/>
  <c r="C19" i="77"/>
  <c r="C20" i="77" s="1"/>
  <c r="C26" i="77"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23" i="77"/>
  <c r="C29" i="77" s="1"/>
  <c r="L19" i="78"/>
  <c r="C15" i="74" s="1"/>
  <c r="B2" i="74" s="1"/>
  <c r="M19" i="78"/>
  <c r="C118" i="78" s="1"/>
  <c r="AA7" i="34"/>
  <c r="R49" i="34" s="1"/>
  <c r="E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14" i="12"/>
  <c r="C23" i="12"/>
  <c r="E6" i="76"/>
  <c r="C57" i="77" l="1"/>
  <c r="C61" i="77" s="1"/>
  <c r="J59" i="77"/>
  <c r="J60" i="77" s="1"/>
  <c r="Q49" i="77"/>
  <c r="C36" i="77"/>
  <c r="C13" i="77"/>
  <c r="C75" i="77" s="1"/>
  <c r="C33" i="77"/>
  <c r="J14" i="77"/>
  <c r="J13" i="77" s="1"/>
  <c r="J23" i="77" s="1"/>
  <c r="J19"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F35" i="77"/>
  <c r="F35" i="67"/>
  <c r="M21" i="15"/>
  <c r="B6" i="76"/>
  <c r="M21" i="67"/>
  <c r="F35" i="15"/>
  <c r="C64" i="77" l="1"/>
  <c r="Q48" i="77"/>
  <c r="L46" i="77"/>
  <c r="J22" i="77"/>
  <c r="C37" i="77"/>
  <c r="Q70" i="77"/>
  <c r="C56" i="77"/>
  <c r="C65" i="77" s="1"/>
  <c r="F63" i="77"/>
  <c r="C62" i="77" s="1"/>
  <c r="C59" i="77" s="1"/>
  <c r="C34" i="77"/>
  <c r="C31" i="77" s="1"/>
  <c r="C30" i="77" s="1"/>
  <c r="C39" i="77" s="1"/>
  <c r="C80" i="77" s="1"/>
  <c r="C79" i="77" s="1"/>
  <c r="J20" i="77"/>
  <c r="J17" i="77" s="1"/>
  <c r="J16" i="77" s="1"/>
  <c r="J25"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8" i="77" l="1"/>
  <c r="C67" i="77" s="1"/>
  <c r="Q69" i="77"/>
  <c r="Q68"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M27" i="15"/>
  <c r="M27" i="67"/>
  <c r="F41" i="15"/>
  <c r="F41" i="67"/>
  <c r="F41" i="77"/>
  <c r="J29" i="77" l="1"/>
  <c r="F69" i="77"/>
  <c r="C68" i="77" s="1"/>
  <c r="C71" i="77" s="1"/>
  <c r="C40" i="77"/>
  <c r="L57" i="15"/>
  <c r="L60" i="15" s="1"/>
  <c r="Q66" i="15" s="1"/>
  <c r="Q67" i="15"/>
  <c r="J26" i="15"/>
  <c r="J29" i="15" s="1"/>
  <c r="J26" i="67"/>
  <c r="J29" i="67" s="1"/>
  <c r="C58" i="15"/>
  <c r="C67" i="15" s="1"/>
  <c r="F69" i="15"/>
  <c r="C40" i="15"/>
  <c r="C43" i="15" s="1"/>
  <c r="L46" i="15"/>
  <c r="F69" i="67"/>
  <c r="C68" i="67" s="1"/>
  <c r="C71" i="67" s="1"/>
  <c r="C40" i="67"/>
  <c r="C83" i="67" s="1"/>
  <c r="C82" i="67" s="1"/>
  <c r="Q65" i="77" l="1"/>
  <c r="Q75" i="77" s="1"/>
  <c r="C43" i="77"/>
  <c r="C83" i="77"/>
  <c r="C82" i="77" s="1"/>
  <c r="Q56" i="77"/>
  <c r="Q62" i="77" s="1"/>
  <c r="D2" i="77"/>
  <c r="B2" i="77" s="1"/>
  <c r="Q47" i="77"/>
  <c r="Q53" i="77" s="1"/>
  <c r="C45" i="77"/>
  <c r="C46" i="77" s="1"/>
  <c r="Q57" i="15"/>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D19" i="78"/>
  <c r="AO7" i="1"/>
  <c r="AO6" i="1"/>
  <c r="AO8" i="1"/>
  <c r="B3" i="15" l="1"/>
  <c r="D21" i="78"/>
  <c r="D102" i="78"/>
  <c r="B8" i="70"/>
  <c r="B7" i="70"/>
  <c r="B6" i="70"/>
  <c r="C46" i="15"/>
  <c r="B2" i="69"/>
  <c r="B3" i="69" s="1"/>
  <c r="B2" i="68"/>
  <c r="B3" i="67"/>
  <c r="D35" i="78"/>
  <c r="D2" i="34"/>
  <c r="D2" i="36"/>
  <c r="D2" i="21"/>
  <c r="D2" i="35"/>
  <c r="D20" i="78"/>
  <c r="D2" i="37"/>
  <c r="D34" i="78"/>
  <c r="E2" i="68"/>
  <c r="D2" i="33"/>
  <c r="F20" i="31"/>
  <c r="D103" i="78" l="1"/>
  <c r="B2" i="36"/>
  <c r="B3" i="36" s="1"/>
  <c r="B2" i="35"/>
  <c r="B3" i="35" s="1"/>
  <c r="B2" i="37"/>
  <c r="B3" i="37" s="1"/>
  <c r="B2" i="34"/>
  <c r="B2" i="21"/>
  <c r="B3" i="21" s="1"/>
  <c r="B2" i="70"/>
  <c r="B3" i="70" s="1"/>
  <c r="B3" i="68"/>
  <c r="D20" i="9"/>
  <c r="D19" i="9"/>
  <c r="C19" i="78"/>
  <c r="C21" i="78" l="1"/>
  <c r="C102" i="78"/>
  <c r="D22" i="78"/>
  <c r="G19" i="78"/>
  <c r="B3" i="34"/>
  <c r="D102" i="9"/>
  <c r="D21" i="9"/>
  <c r="D103" i="9"/>
  <c r="C20" i="78"/>
  <c r="C103" i="78" l="1"/>
  <c r="G20" i="78"/>
  <c r="G21" i="78"/>
  <c r="C32" i="78"/>
  <c r="H109" i="9"/>
  <c r="C35" i="78" l="1"/>
  <c r="H118" i="78"/>
  <c r="H110" i="9"/>
  <c r="D18" i="53" s="1"/>
  <c r="B35" i="72" s="1"/>
  <c r="D124" i="9"/>
  <c r="D16" i="53"/>
  <c r="B34" i="72" s="1"/>
  <c r="F118" i="78" l="1"/>
  <c r="C34" i="78"/>
  <c r="D118" i="78" s="1"/>
  <c r="D119" i="78" s="1"/>
  <c r="I118" i="78"/>
  <c r="H119" i="78"/>
  <c r="C104" i="78"/>
  <c r="H101" i="78"/>
  <c r="D10" i="52"/>
  <c r="H14" i="74"/>
  <c r="D17" i="53"/>
  <c r="B36" i="72" s="1"/>
  <c r="D125" i="9"/>
  <c r="D11" i="52" s="1"/>
  <c r="D45" i="78" l="1"/>
  <c r="H107" i="78"/>
  <c r="M48" i="78"/>
  <c r="H102" i="78"/>
  <c r="C105" i="78"/>
  <c r="F119" i="78"/>
  <c r="G118" i="78"/>
  <c r="E118" i="78" s="1"/>
  <c r="B7" i="74"/>
  <c r="D7" i="74" s="1"/>
  <c r="C78" i="78" l="1"/>
  <c r="C73" i="78" s="1"/>
  <c r="C93" i="78"/>
  <c r="C86" i="78" s="1"/>
  <c r="C72" i="78"/>
  <c r="C79" i="78" s="1"/>
  <c r="C80" i="78" s="1"/>
  <c r="E80" i="78" s="1"/>
  <c r="E81" i="78" s="1"/>
  <c r="D55" i="78"/>
  <c r="M53" i="78" s="1"/>
  <c r="D52" i="78"/>
  <c r="C85" i="78"/>
  <c r="C64" i="78"/>
  <c r="C63" i="78" s="1"/>
  <c r="C67" i="78" s="1"/>
  <c r="C68" i="78" s="1"/>
  <c r="D54" i="78" s="1"/>
  <c r="D53" i="78"/>
  <c r="D122" i="78"/>
  <c r="D123" i="78" s="1"/>
  <c r="H108" i="78"/>
  <c r="C7" i="74"/>
  <c r="C95" i="78" l="1"/>
  <c r="C96" i="78" s="1"/>
  <c r="E96" i="78" s="1"/>
  <c r="E97" i="78" s="1"/>
  <c r="C81" i="78"/>
  <c r="J7" i="33"/>
  <c r="W7" i="33" s="1"/>
  <c r="F7" i="33"/>
  <c r="S7" i="33" s="1"/>
  <c r="H7" i="33"/>
  <c r="AB7" i="33" s="1"/>
  <c r="T48" i="33" s="1"/>
  <c r="G48" i="33" s="1"/>
  <c r="C97" i="78" l="1"/>
  <c r="D58" i="78" s="1"/>
  <c r="D56" i="78" s="1"/>
  <c r="M54" i="78" s="1"/>
  <c r="N57" i="78" s="1"/>
  <c r="P57" i="78" s="1"/>
  <c r="G52" i="33"/>
  <c r="H52" i="33" s="1"/>
  <c r="AA7" i="33"/>
  <c r="R48" i="33" s="1"/>
  <c r="U7" i="33"/>
  <c r="AC7" i="33"/>
  <c r="V48" i="33" s="1"/>
  <c r="I48" i="33" s="1"/>
  <c r="N58" i="78" l="1"/>
  <c r="N59" i="78"/>
  <c r="N61" i="78" s="1"/>
  <c r="I52" i="33"/>
  <c r="J52" i="33" s="1"/>
  <c r="R49" i="33"/>
  <c r="E48" i="33"/>
  <c r="G53" i="33"/>
  <c r="H53" i="33" s="1"/>
  <c r="N60" i="78" l="1"/>
  <c r="E53" i="33"/>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G21" i="9"/>
  <c r="R48" i="39"/>
  <c r="E47" i="39"/>
  <c r="C32" i="9" l="1"/>
  <c r="S24" i="31"/>
  <c r="R25" i="31"/>
  <c r="S25" i="31" s="1"/>
  <c r="D15" i="74" s="1"/>
  <c r="G15" i="74" s="1"/>
  <c r="C48" i="39"/>
  <c r="C47" i="39"/>
  <c r="E51" i="39"/>
  <c r="F51" i="39" s="1"/>
  <c r="E52" i="39"/>
  <c r="F52" i="39" s="1"/>
  <c r="I52" i="39"/>
  <c r="J52" i="39" s="1"/>
  <c r="F15" i="74" l="1"/>
  <c r="E15" i="74"/>
  <c r="S22" i="31"/>
  <c r="R22" i="31" s="1"/>
  <c r="B21" i="31" s="1"/>
  <c r="B61" i="39"/>
  <c r="F61" i="39" s="1"/>
  <c r="B60" i="39"/>
  <c r="F60" i="39" s="1"/>
  <c r="B56" i="39"/>
  <c r="F56" i="39" s="1"/>
  <c r="B58" i="39"/>
  <c r="F58" i="39" s="1"/>
  <c r="B59" i="39"/>
  <c r="F59" i="39" s="1"/>
  <c r="B64" i="39"/>
  <c r="F64" i="39" s="1"/>
  <c r="B65" i="39"/>
  <c r="F65" i="39" s="1"/>
  <c r="B57" i="39"/>
  <c r="F57" i="39" s="1"/>
  <c r="B63" i="39"/>
  <c r="F63" i="39" s="1"/>
  <c r="B62" i="39"/>
  <c r="F62" i="39" s="1"/>
  <c r="B20" i="31" l="1"/>
  <c r="F66" i="39"/>
  <c r="B2" i="39" s="1"/>
  <c r="B3" i="39" s="1"/>
  <c r="D35" i="9"/>
  <c r="C35" i="9" l="1"/>
  <c r="C34" i="9" s="1"/>
  <c r="D34" i="9"/>
  <c r="H112" i="9" l="1"/>
  <c r="D21" i="53" s="1"/>
  <c r="B39" i="72" s="1"/>
  <c r="H111" i="9"/>
  <c r="D126" i="9" s="1"/>
  <c r="D59" i="9"/>
  <c r="M55" i="9" s="1"/>
  <c r="D19" i="53" l="1"/>
  <c r="B38" i="72" s="1"/>
  <c r="D20" i="53"/>
  <c r="B40" i="72" s="1"/>
  <c r="I14" i="74"/>
  <c r="B8" i="74" s="1"/>
  <c r="D127" i="9"/>
  <c r="D13" i="52" s="1"/>
  <c r="D12" i="52"/>
  <c r="D8" i="74" l="1"/>
  <c r="C8" i="74"/>
  <c r="H118" i="9" l="1"/>
  <c r="I118" i="9" s="1"/>
  <c r="C105" i="9" s="1"/>
  <c r="H102" i="9" l="1"/>
  <c r="D7" i="53" s="1"/>
  <c r="B21" i="72" s="1"/>
  <c r="I4" i="52"/>
  <c r="C104" i="9"/>
  <c r="H101" i="9"/>
  <c r="H119" i="9"/>
  <c r="H5" i="52" s="1"/>
  <c r="H4" i="52"/>
  <c r="D14" i="74"/>
  <c r="B5" i="74" l="1"/>
  <c r="E14" i="74"/>
  <c r="F14" i="74"/>
  <c r="M48" i="9"/>
  <c r="H107" i="9"/>
  <c r="D45" i="9"/>
  <c r="D5" i="53"/>
  <c r="D53" i="9" l="1"/>
  <c r="C93" i="9"/>
  <c r="C86" i="9" s="1"/>
  <c r="C78" i="9"/>
  <c r="C73" i="9" s="1"/>
  <c r="C72" i="9"/>
  <c r="C64" i="9"/>
  <c r="C63" i="9" s="1"/>
  <c r="C67" i="9" s="1"/>
  <c r="C68" i="9" s="1"/>
  <c r="D54" i="9" s="1"/>
  <c r="D52" i="9"/>
  <c r="C85" i="9"/>
  <c r="D55" i="9"/>
  <c r="M53" i="9" s="1"/>
  <c r="B20" i="72"/>
  <c r="D6" i="53"/>
  <c r="B22" i="72" s="1"/>
  <c r="M49" i="9"/>
  <c r="D122" i="9"/>
  <c r="D13" i="53"/>
  <c r="H108" i="9"/>
  <c r="D15" i="53" s="1"/>
  <c r="B31" i="72" s="1"/>
  <c r="D5" i="74"/>
  <c r="C5" i="74"/>
  <c r="L68" i="9" l="1"/>
  <c r="M68" i="9" s="1"/>
  <c r="L63" i="9"/>
  <c r="M63" i="9" s="1"/>
  <c r="M69" i="9" s="1"/>
  <c r="N69" i="9" s="1"/>
  <c r="L64" i="9"/>
  <c r="M64" i="9" s="1"/>
  <c r="L66" i="9"/>
  <c r="M66" i="9" s="1"/>
  <c r="L65" i="9"/>
  <c r="M65" i="9" s="1"/>
  <c r="L67" i="9"/>
  <c r="M67" i="9" s="1"/>
  <c r="C79" i="9"/>
  <c r="C80" i="9" s="1"/>
  <c r="E80" i="9" s="1"/>
  <c r="E81" i="9" s="1"/>
  <c r="C95" i="9"/>
  <c r="C96" i="9" s="1"/>
  <c r="E96" i="9" s="1"/>
  <c r="E97" i="9" s="1"/>
  <c r="G14" i="74"/>
  <c r="B6" i="74" s="1"/>
  <c r="D8" i="52"/>
  <c r="D123" i="9"/>
  <c r="D9" i="52" s="1"/>
  <c r="D14" i="53"/>
  <c r="B32" i="72" s="1"/>
  <c r="B30" i="72"/>
  <c r="C97" i="9"/>
  <c r="D58" i="9" s="1"/>
  <c r="D56" i="9" s="1"/>
  <c r="M54" i="9" s="1"/>
  <c r="N57" i="9" s="1"/>
  <c r="P57" i="9" s="1"/>
  <c r="C81" i="9" l="1"/>
  <c r="D6" i="74"/>
  <c r="C6" i="74"/>
  <c r="N59" i="9"/>
  <c r="N60" i="9" s="1"/>
  <c r="N58" i="9"/>
  <c r="AD3" i="71"/>
  <c r="P21" i="43" s="1"/>
  <c r="N61" i="9" l="1"/>
  <c r="P22" i="43"/>
  <c r="P23" i="43"/>
  <c r="B71" i="39" s="1"/>
  <c r="P24" i="43"/>
  <c r="B66" i="40" s="1"/>
  <c r="P25" i="43"/>
  <c r="D118" i="9" l="1"/>
  <c r="F118" i="9"/>
  <c r="G118" i="9" s="1"/>
  <c r="E118" i="9" s="1"/>
  <c r="E4" i="52" s="1"/>
  <c r="B48" i="72" s="1"/>
  <c r="G4" i="52" l="1"/>
  <c r="B52" i="72" s="1"/>
  <c r="F4" i="52"/>
  <c r="B51" i="72" s="1"/>
  <c r="F119" i="9"/>
  <c r="F5" i="52" s="1"/>
  <c r="B53" i="72" s="1"/>
  <c r="D4" i="52"/>
  <c r="B47"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<sst xmlns="http://schemas.openxmlformats.org/spreadsheetml/2006/main" count="8212" uniqueCount="3170">
  <si>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</si>
  <si>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</si>
  <si>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</si>
  <si>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</si>
  <si>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</si>
  <si>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</si>
  <si>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</si>
  <si>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</si>
  <si>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</si>
  <si>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</si>
  <si>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</si>
  <si>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</si>
  <si>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</si>
  <si>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</si>
  <si>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</si>
  <si>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</si>
  <si>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</si>
  <si>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</si>
  <si>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</si>
  <si>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</si>
  <si>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</si>
  <si>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</si>
  <si>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</si>
  <si>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</si>
  <si>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</si>
  <si>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</si>
  <si>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</si>
  <si>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</si>
  <si>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</si>
  <si>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</si>
  <si>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</si>
  <si>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</si>
  <si>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</si>
  <si>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</si>
  <si>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</si>
  <si>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</si>
  <si>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</si>
  <si>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</si>
  <si>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</si>
  <si>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</si>
  <si>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</si>
  <si>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</si>
  <si>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</si>
  <si>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</si>
  <si>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</si>
  <si>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</si>
  <si>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</si>
  <si>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</si>
  <si>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</si>
  <si>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</si>
  <si>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</si>
  <si>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</si>
  <si>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</si>
  <si>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</si>
  <si>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</si>
  <si>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</si>
  <si>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</si>
  <si>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</si>
  <si>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</si>
  <si>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</si>
  <si>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</si>
  <si>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</si>
  <si>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</si>
  <si>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</si>
  <si>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</si>
  <si>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</si>
  <si>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</si>
  <si>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</si>
  <si>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</si>
  <si>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</si>
  <si>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</si>
  <si>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</si>
  <si>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</si>
  <si>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</si>
  <si>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</si>
  <si>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</si>
  <si>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</si>
  <si>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</si>
  <si>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</si>
  <si>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</si>
  <si>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</si>
  <si>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</si>
  <si>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</si>
  <si>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</si>
  <si>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</si>
  <si>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</si>
  <si>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</si>
  <si>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</si>
  <si>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</si>
  <si>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</si>
  <si>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</si>
  <si>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</si>
  <si>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</si>
  <si>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</si>
  <si>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</si>
  <si>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</si>
  <si>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</si>
  <si>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</si>
  <si>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</si>
  <si>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</si>
  <si>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</si>
  <si>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</si>
  <si>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</si>
  <si>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</si>
  <si>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</si>
  <si>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</si>
  <si>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</si>
  <si>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</si>
  <si>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</si>
  <si>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</si>
  <si>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</si>
  <si>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</si>
  <si>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</si>
  <si>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</si>
  <si>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</si>
  <si>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</si>
  <si>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</si>
  <si>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</si>
  <si>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</si>
  <si>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</si>
  <si>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</si>
  <si>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</si>
  <si>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</si>
  <si>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</si>
  <si>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</si>
  <si>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</si>
  <si>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</si>
  <si>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</si>
  <si>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</si>
  <si>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</si>
  <si>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</si>
  <si>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</si>
  <si>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</si>
  <si>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</si>
  <si>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</si>
  <si>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</si>
  <si>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</si>
  <si>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</si>
  <si>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</si>
  <si>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</si>
  <si>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</si>
  <si>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</si>
  <si>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</si>
  <si>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</si>
  <si>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</si>
  <si>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</si>
  <si>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</si>
  <si>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</si>
  <si>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</si>
  <si>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</si>
  <si>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</si>
  <si>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</si>
  <si>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</si>
  <si>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</si>
  <si>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</si>
  <si>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</si>
  <si>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</si>
  <si>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</si>
  <si>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</si>
  <si>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</si>
  <si>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</si>
  <si>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</si>
  <si>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</si>
  <si>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</si>
  <si>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</si>
  <si>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</si>
  <si>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</si>
  <si>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</si>
  <si>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</si>
  <si>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</si>
  <si>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</si>
  <si>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</si>
  <si>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</si>
  <si>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</si>
  <si>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</si>
  <si>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</si>
  <si>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</si>
  <si>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</si>
  <si>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</si>
  <si>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</si>
  <si>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</si>
  <si>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</si>
  <si>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</si>
  <si>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</si>
  <si>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</si>
  <si>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</si>
  <si>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</si>
  <si>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</si>
  <si>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</si>
  <si>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</si>
  <si>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</si>
  <si>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</si>
  <si>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</si>
  <si>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</si>
  <si>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</si>
  <si>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</si>
  <si>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</si>
  <si>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</si>
  <si>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</si>
  <si>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</si>
  <si>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</si>
  <si>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</si>
  <si>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</si>
  <si>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</si>
  <si>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</si>
  <si>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</si>
  <si>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</si>
  <si>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</si>
  <si>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</si>
  <si>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</si>
  <si>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</si>
  <si>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</si>
  <si>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</si>
  <si>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</si>
  <si>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</si>
  <si>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</si>
  <si>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</si>
  <si>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</si>
  <si>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</si>
  <si>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</si>
  <si>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</si>
  <si>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</si>
  <si>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</si>
  <si>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</si>
  <si>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</si>
  <si>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</si>
  <si>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</si>
  <si>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</si>
  <si>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</si>
  <si>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</si>
  <si>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</si>
  <si>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</si>
  <si>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</si>
  <si>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</si>
  <si>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</si>
  <si>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</si>
  <si>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</si>
  <si>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</si>
  <si>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</si>
  <si>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</si>
  <si>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</si>
  <si>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</si>
  <si>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</si>
  <si>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</si>
  <si>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</si>
  <si>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</si>
  <si>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</si>
  <si>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</si>
  <si>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</si>
  <si>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</si>
  <si>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</si>
  <si>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</si>
  <si>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</si>
  <si>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</si>
  <si>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</si>
  <si>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</si>
  <si>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</si>
  <si>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</si>
  <si>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</si>
  <si>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</si>
  <si>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</si>
  <si>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</si>
  <si>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</si>
  <si>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</si>
  <si>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</si>
  <si>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</si>
  <si>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</si>
  <si>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</si>
  <si>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</si>
  <si>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</si>
  <si>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</si>
  <si>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</si>
  <si>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</si>
  <si>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</si>
  <si>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</si>
  <si>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</si>
  <si>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</si>
  <si>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</si>
  <si>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</si>
  <si>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</si>
  <si>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</si>
  <si>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</si>
  <si>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</si>
  <si>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</si>
  <si>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</si>
  <si>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</si>
  <si>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</si>
  <si>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</si>
  <si>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</si>
  <si>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</si>
  <si>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</si>
  <si>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</si>
  <si>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</si>
  <si>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</si>
  <si>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</si>
  <si>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</si>
  <si>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</si>
  <si>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</si>
  <si>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</si>
  <si>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</si>
  <si>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</si>
  <si>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</si>
  <si>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</si>
  <si>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</si>
  <si>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</si>
  <si>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</si>
  <si>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</si>
  <si>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</si>
  <si>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</si>
  <si>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</si>
  <si>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</si>
  <si>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</si>
  <si>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</si>
  <si>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</si>
  <si>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</si>
  <si>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</si>
  <si>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</si>
  <si>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</si>
  <si>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</si>
  <si>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</si>
  <si>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</si>
  <si>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</si>
  <si>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</si>
  <si>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</si>
  <si>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</si>
  <si>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</si>
  <si>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</si>
  <si>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</si>
  <si>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</si>
  <si>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</si>
  <si>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</si>
  <si>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</si>
  <si>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</si>
  <si>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</si>
  <si>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</si>
  <si>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</si>
  <si>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</si>
  <si>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</si>
  <si>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</si>
  <si>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</si>
  <si>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</si>
  <si>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</si>
  <si>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</si>
  <si>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</si>
  <si>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</si>
  <si>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</si>
  <si>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</si>
  <si>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</si>
  <si>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</si>
  <si>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</si>
  <si>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</si>
  <si>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</si>
  <si>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</si>
  <si>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</si>
  <si>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</si>
  <si>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</si>
  <si>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</si>
  <si>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</si>
  <si>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</si>
  <si>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</si>
  <si>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</si>
  <si>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</si>
  <si>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</si>
  <si>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</si>
  <si>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</si>
  <si>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</si>
  <si>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</si>
  <si>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</si>
  <si>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</si>
  <si>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</si>
  <si>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</si>
  <si>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</si>
  <si>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</si>
  <si>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</si>
  <si>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</si>
  <si>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</si>
  <si>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</si>
  <si>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</si>
  <si>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</si>
  <si>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</si>
  <si>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</si>
  <si>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</si>
  <si>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</si>
  <si>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</si>
  <si>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</si>
  <si>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</si>
  <si>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</si>
  <si>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</si>
  <si>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</si>
  <si>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</si>
  <si>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</si>
  <si>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</si>
  <si>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</si>
  <si>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</si>
  <si>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</si>
  <si>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</si>
  <si>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</si>
  <si>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</si>
  <si>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</si>
  <si>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</si>
  <si>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</si>
  <si>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</si>
  <si>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</si>
  <si>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</si>
  <si>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</si>
  <si>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</si>
  <si>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</si>
  <si>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</si>
  <si>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</si>
  <si>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</si>
  <si>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</si>
  <si>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</si>
  <si>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</si>
  <si>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</si>
  <si>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</si>
  <si>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</si>
  <si>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</si>
  <si>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</si>
  <si>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</si>
  <si>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</si>
  <si>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</si>
  <si>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</si>
  <si>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</si>
  <si>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</si>
  <si>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</si>
  <si>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</si>
  <si>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</si>
  <si>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</si>
  <si>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</si>
  <si>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</si>
  <si>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</si>
  <si>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</si>
  <si>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</si>
  <si>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</si>
  <si>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</si>
  <si>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</si>
  <si>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</si>
  <si>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</si>
  <si>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</si>
  <si>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</si>
  <si>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</si>
  <si>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</si>
  <si>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</si>
  <si>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</si>
  <si>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</si>
  <si>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</si>
  <si>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</si>
  <si>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</si>
  <si>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</si>
  <si>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</si>
  <si>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</si>
  <si>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</si>
  <si>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</si>
  <si>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</si>
  <si>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</si>
  <si>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</si>
  <si>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</si>
  <si>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</si>
  <si>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</si>
  <si>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</si>
  <si>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</si>
  <si>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</si>
  <si>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</si>
  <si>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</si>
  <si>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</si>
  <si>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</si>
  <si>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</si>
  <si>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</si>
  <si>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</si>
  <si>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</si>
  <si>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</si>
  <si>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</si>
  <si>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</si>
  <si>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</si>
  <si>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</si>
  <si>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</si>
  <si>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</si>
  <si>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</si>
  <si>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</si>
  <si>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</si>
  <si>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</si>
  <si>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</si>
  <si>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</si>
  <si>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</si>
  <si>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</si>
  <si>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</si>
  <si>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</si>
  <si>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</si>
  <si>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</si>
  <si>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</si>
  <si>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</si>
  <si>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</si>
  <si>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</si>
  <si>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</si>
  <si>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</si>
  <si>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</si>
  <si>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</si>
  <si>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</si>
  <si>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</si>
  <si>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</si>
  <si>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</si>
  <si>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</si>
  <si>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</si>
  <si>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</si>
  <si>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</si>
  <si>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</si>
  <si>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</si>
  <si>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</si>
  <si>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</si>
  <si>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</si>
  <si>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</si>
  <si>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</si>
  <si>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</si>
  <si>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</si>
  <si>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</si>
  <si>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</si>
  <si>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</si>
  <si>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</si>
  <si>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</si>
  <si>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</si>
  <si>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</si>
  <si>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</si>
  <si>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</si>
  <si>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</si>
  <si>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</si>
  <si>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</si>
  <si>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</si>
  <si>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</si>
  <si>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</si>
  <si>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</si>
  <si>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</si>
  <si>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</si>
  <si>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</si>
  <si>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</si>
  <si>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</si>
  <si>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</si>
  <si>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</si>
  <si>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</si>
  <si>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</si>
  <si>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</si>
  <si>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</si>
  <si>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</si>
  <si>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</si>
  <si>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</si>
  <si>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</si>
  <si>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</si>
  <si>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</si>
  <si>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</si>
  <si>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</si>
  <si>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</si>
  <si>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</si>
  <si>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</si>
  <si>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</si>
  <si>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</si>
  <si>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</si>
  <si>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</si>
  <si>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</si>
  <si>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</si>
  <si>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</si>
  <si>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</si>
  <si>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</si>
  <si>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</si>
  <si>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</si>
  <si>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</si>
  <si>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</si>
  <si>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</si>
  <si>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</si>
  <si>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</si>
  <si>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</si>
  <si>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</si>
  <si>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</si>
  <si>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</si>
  <si>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</si>
  <si>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</si>
  <si>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</si>
  <si>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</si>
  <si>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</si>
  <si>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</si>
  <si>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</si>
  <si>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</si>
  <si>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</si>
  <si>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</si>
  <si>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</si>
  <si>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</si>
  <si>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</si>
  <si>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</si>
  <si>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</si>
  <si>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</si>
  <si>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</si>
  <si>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</si>
  <si>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</si>
  <si>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</si>
  <si>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</si>
  <si>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</si>
  <si>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</si>
  <si>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</si>
  <si>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</si>
  <si>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</si>
  <si>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</si>
  <si>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</si>
  <si>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</si>
  <si>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</si>
  <si>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</si>
  <si>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</si>
  <si>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</si>
  <si>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</si>
  <si>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</si>
  <si>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</si>
  <si>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</si>
  <si>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</si>
  <si>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</si>
  <si>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</si>
  <si>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</si>
  <si>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</si>
  <si>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</si>
  <si>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</si>
  <si>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</si>
  <si>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</si>
  <si>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</si>
  <si>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</si>
  <si>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</si>
  <si>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</si>
  <si>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</si>
  <si>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</si>
  <si>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</si>
  <si>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</si>
  <si>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</si>
  <si>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</si>
  <si>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</si>
  <si>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</si>
  <si>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</si>
  <si>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</si>
  <si>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</si>
  <si>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</si>
  <si>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</si>
  <si>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</si>
  <si>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</si>
  <si>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</si>
  <si>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</si>
  <si>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</si>
  <si>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</si>
  <si>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</si>
  <si>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</si>
  <si>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</si>
  <si>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</si>
  <si>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</si>
  <si>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</si>
  <si>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</si>
  <si>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</si>
  <si>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</si>
  <si>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</si>
  <si>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</si>
  <si>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</si>
  <si>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</si>
  <si>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</si>
  <si>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</si>
  <si>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</si>
  <si>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</si>
  <si>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</si>
  <si>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</si>
  <si>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</si>
  <si>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</si>
  <si>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</si>
  <si>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</si>
  <si>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</si>
  <si>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</si>
  <si>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</si>
  <si>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</si>
  <si>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</si>
  <si>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</si>
  <si>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</si>
  <si>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</si>
  <si>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</si>
  <si>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</si>
  <si>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</si>
  <si>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</si>
  <si>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</si>
  <si>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</si>
  <si>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</si>
  <si>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</si>
  <si>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</si>
  <si>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</si>
  <si>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</si>
  <si>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</si>
  <si>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</si>
  <si>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</si>
  <si>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</si>
  <si>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</si>
  <si>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</si>
  <si>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</si>
  <si>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</si>
  <si>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</si>
  <si>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</si>
  <si>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</si>
  <si>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</si>
  <si>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</si>
  <si>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</si>
  <si>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</si>
  <si>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</si>
  <si>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</si>
  <si>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</si>
  <si>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</si>
  <si>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</si>
  <si>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</si>
  <si>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</si>
  <si>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</si>
  <si>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</si>
  <si>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</si>
  <si>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</si>
  <si>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</si>
  <si>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</si>
  <si>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</si>
  <si>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</si>
  <si>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</si>
  <si>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</si>
  <si>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</si>
  <si>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</si>
  <si>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</si>
  <si>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</si>
  <si>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</si>
  <si>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</si>
  <si>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</si>
  <si>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</si>
  <si>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</si>
  <si>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</si>
  <si>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</si>
  <si>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</si>
  <si>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</si>
  <si>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</si>
  <si>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</si>
  <si>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</si>
  <si>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</si>
  <si>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</si>
  <si>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</si>
  <si>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</si>
  <si>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</si>
  <si>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</si>
  <si>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</si>
  <si>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</si>
  <si>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</si>
  <si>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</si>
  <si>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</si>
  <si>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</si>
  <si>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</si>
  <si>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</si>
  <si>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</si>
  <si>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</si>
  <si>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</si>
  <si>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</si>
  <si>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</si>
  <si>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</si>
  <si>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</si>
  <si>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</si>
  <si>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</si>
  <si>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</si>
  <si>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</si>
  <si>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</si>
  <si>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</si>
  <si>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</si>
  <si>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</si>
  <si>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</si>
  <si>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</si>
  <si>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</si>
  <si>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</si>
  <si>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</si>
  <si>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</si>
  <si>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</si>
  <si>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</si>
  <si>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</si>
  <si>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</si>
  <si>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</si>
  <si>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</si>
  <si>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</si>
  <si>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</si>
  <si>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</si>
  <si>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</si>
  <si>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</si>
  <si>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</si>
  <si>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</si>
  <si>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</si>
  <si>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</si>
  <si>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</si>
  <si>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</si>
  <si>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</si>
  <si>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</si>
  <si>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</si>
  <si>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</si>
  <si>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</si>
  <si>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</si>
  <si>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</si>
  <si>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</si>
  <si>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</si>
  <si>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</si>
  <si>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</si>
  <si>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</si>
  <si>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</si>
  <si>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</si>
  <si>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</si>
  <si>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</si>
  <si>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</si>
  <si>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</si>
  <si>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</si>
  <si>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</si>
  <si>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</si>
  <si>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</si>
  <si>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</si>
  <si>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</si>
  <si>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</si>
  <si>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</si>
  <si>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</si>
  <si>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</si>
  <si>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</si>
  <si>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</si>
  <si>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</si>
  <si>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</si>
  <si>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</si>
  <si>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</si>
  <si>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</si>
  <si>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</si>
  <si>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</si>
  <si>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</si>
  <si>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</si>
  <si>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</si>
  <si>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</si>
  <si>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</si>
  <si>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</si>
  <si>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</si>
  <si>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</si>
  <si>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</si>
  <si>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</si>
  <si>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</si>
  <si>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</si>
  <si>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</si>
  <si>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</si>
  <si>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</si>
  <si>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</si>
  <si>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</si>
  <si>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</si>
  <si>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</si>
  <si>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</si>
  <si>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</si>
  <si>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</si>
  <si>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</si>
  <si>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</si>
  <si>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</si>
  <si>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</si>
  <si>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</si>
  <si>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</si>
  <si>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</si>
  <si>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</si>
  <si>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</si>
  <si>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</si>
  <si>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</si>
  <si>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</si>
  <si>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</si>
  <si>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</si>
  <si>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</si>
  <si>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</si>
  <si>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</si>
  <si>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</si>
  <si>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</si>
  <si>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</si>
  <si>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</si>
  <si>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</si>
  <si>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</si>
  <si>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</si>
  <si>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</si>
  <si>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</si>
  <si>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</si>
  <si>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</si>
  <si>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</si>
  <si>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</si>
  <si>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</si>
  <si>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</si>
  <si>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</si>
  <si>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</si>
  <si>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</si>
  <si>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</si>
  <si>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</si>
  <si>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</si>
  <si>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</si>
  <si>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</si>
  <si>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</si>
  <si>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</si>
  <si>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</si>
  <si>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</si>
  <si>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</si>
  <si>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</si>
  <si>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</si>
  <si>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</si>
  <si>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</si>
  <si>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</si>
  <si>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</si>
  <si>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</si>
  <si>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</si>
  <si>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</si>
  <si>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</si>
  <si>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</si>
  <si>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</si>
  <si>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</si>
  <si>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</si>
  <si>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</si>
  <si>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</si>
  <si>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</si>
  <si>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</si>
  <si>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</si>
  <si>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</si>
  <si>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</si>
  <si>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</si>
  <si>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</si>
  <si>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</si>
  <si>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</si>
  <si>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</si>
  <si>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</si>
  <si>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</si>
  <si>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</si>
  <si>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</si>
  <si>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</si>
  <si>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</si>
  <si>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</si>
  <si>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</si>
  <si>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</si>
  <si>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</si>
  <si>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</si>
  <si>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</si>
  <si>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</si>
  <si>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</si>
  <si>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</si>
  <si>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</si>
  <si>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</si>
  <si>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</si>
  <si>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</si>
  <si>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</si>
  <si>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</si>
  <si>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</si>
  <si>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</si>
  <si>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</si>
  <si>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</si>
  <si>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</si>
  <si>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</si>
  <si>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</si>
  <si>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</si>
  <si>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</si>
  <si>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</si>
  <si>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</si>
  <si>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</si>
  <si>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</si>
  <si>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</si>
  <si>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</si>
  <si>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</si>
  <si>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</si>
  <si>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</si>
  <si>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</si>
  <si>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</si>
  <si>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</si>
  <si>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</si>
  <si>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</si>
  <si>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</si>
  <si>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</si>
  <si>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</si>
  <si>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</si>
  <si>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</si>
  <si>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</si>
  <si>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</si>
  <si>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</si>
  <si>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</si>
  <si>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</si>
  <si>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</si>
  <si>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</si>
  <si>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</si>
  <si>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</si>
  <si>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</si>
  <si>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</si>
  <si>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</si>
  <si>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</si>
  <si>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</si>
  <si>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</si>
  <si>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</si>
  <si>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</si>
  <si>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</si>
  <si>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</si>
  <si>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</si>
  <si>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</si>
  <si>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</si>
  <si>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</si>
  <si>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</si>
  <si>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</si>
  <si>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</si>
  <si>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</si>
  <si>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</si>
  <si>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</si>
  <si>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</si>
  <si>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</si>
  <si>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</si>
  <si>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</si>
  <si>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</si>
  <si>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</si>
  <si>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</si>
  <si>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</si>
  <si>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</si>
  <si>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</si>
  <si>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</si>
  <si>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</si>
  <si>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</si>
  <si>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</si>
  <si>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</si>
  <si>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</si>
  <si>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</si>
  <si>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</si>
  <si>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</si>
  <si>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</si>
  <si>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</si>
  <si>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</si>
  <si>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</si>
  <si>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</si>
  <si>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</si>
  <si>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</si>
  <si>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</si>
  <si>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</si>
  <si>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</si>
  <si>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</si>
  <si>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</si>
  <si>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</si>
  <si>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</si>
  <si>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</si>
  <si>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</si>
  <si>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</si>
  <si>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</si>
  <si>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</si>
  <si>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</si>
  <si>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</si>
  <si>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</si>
  <si>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</si>
  <si>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</si>
  <si>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</si>
  <si>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</si>
  <si>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</si>
  <si>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</si>
  <si>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</si>
  <si>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</si>
  <si>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</si>
  <si>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</si>
  <si>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</si>
  <si>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</si>
  <si>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</si>
  <si>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</si>
  <si>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</si>
  <si>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</si>
  <si>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</si>
  <si>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</si>
  <si>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</si>
  <si>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</si>
  <si>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</si>
  <si>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</si>
  <si>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</si>
  <si>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</si>
  <si>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</si>
  <si>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</si>
  <si>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</si>
  <si>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</si>
  <si>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</si>
  <si>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</si>
  <si>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</si>
  <si>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</si>
  <si>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</si>
  <si>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</si>
  <si>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</si>
  <si>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</si>
  <si>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</si>
  <si>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</si>
  <si>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</si>
  <si>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</si>
  <si>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</si>
  <si>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</si>
  <si>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</si>
  <si>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</si>
  <si>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</si>
  <si>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</si>
  <si>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</si>
  <si>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</si>
  <si>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</si>
  <si>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</si>
  <si>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</si>
  <si>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</si>
  <si>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</si>
  <si>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</si>
  <si>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</si>
  <si>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</si>
  <si>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</si>
  <si>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</si>
  <si>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</si>
  <si>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</si>
  <si>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</si>
  <si>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</si>
  <si>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</si>
  <si>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</si>
  <si>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</si>
  <si>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</si>
  <si>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</si>
  <si>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</si>
  <si>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</si>
  <si>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</si>
  <si>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</si>
  <si>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</si>
  <si>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</si>
  <si>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</si>
  <si>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</si>
  <si>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</si>
  <si>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</si>
  <si>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</si>
  <si>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</si>
  <si>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</si>
  <si>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</si>
  <si>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</si>
  <si>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</si>
  <si>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</si>
  <si>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</si>
  <si>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</si>
  <si>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</si>
  <si>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</si>
  <si>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</si>
  <si>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</si>
  <si>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</si>
  <si>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</si>
  <si>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</si>
  <si>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</si>
  <si>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</si>
  <si>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</si>
  <si>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</si>
  <si>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</si>
  <si>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</si>
  <si>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</si>
  <si>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</si>
  <si>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</si>
  <si>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</si>
  <si>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</si>
  <si>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</si>
  <si>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</si>
  <si>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</si>
  <si>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</si>
  <si>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</si>
  <si>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</si>
  <si>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</si>
  <si>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</si>
  <si>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</si>
  <si>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</si>
  <si>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</si>
  <si>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</si>
  <si>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</si>
  <si>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</si>
  <si>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</si>
  <si>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</si>
  <si>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</si>
  <si>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</si>
  <si>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</si>
  <si>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</si>
  <si>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</si>
  <si>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</si>
  <si>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</si>
  <si>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</si>
  <si>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</si>
  <si>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</si>
  <si>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</si>
  <si>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</si>
  <si>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</si>
  <si>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</si>
  <si>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</si>
  <si>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</si>
  <si>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</si>
  <si>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</si>
  <si>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</si>
  <si>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</si>
  <si>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</si>
  <si>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</si>
  <si>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</si>
  <si>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</si>
  <si>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</si>
  <si>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</si>
  <si>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</si>
  <si>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</si>
  <si>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</si>
  <si>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</si>
  <si>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</si>
  <si>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</si>
  <si>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</si>
  <si>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</si>
  <si>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</si>
  <si>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</si>
  <si>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</si>
  <si>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</si>
  <si>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</si>
  <si>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</si>
  <si>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</si>
  <si>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</si>
  <si>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</si>
  <si>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</si>
  <si>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</si>
  <si>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</si>
  <si>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</si>
  <si>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</si>
  <si>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</si>
  <si>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</si>
  <si>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</si>
  <si>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</si>
  <si>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</si>
  <si>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</si>
  <si>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</si>
  <si>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</si>
  <si>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</si>
  <si>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</si>
  <si>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</si>
  <si>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</si>
  <si>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</si>
  <si>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</si>
  <si>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</si>
  <si>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</si>
  <si>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</si>
  <si>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</si>
  <si>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</si>
  <si>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</si>
  <si>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</si>
  <si>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</si>
  <si>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</si>
  <si>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</si>
  <si>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</si>
  <si>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</si>
  <si>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</si>
  <si>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</si>
  <si>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</si>
  <si>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</si>
  <si>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</si>
  <si>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</si>
  <si>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</si>
  <si>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</si>
  <si>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</si>
  <si>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</si>
  <si>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</si>
  <si>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</si>
  <si>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</si>
  <si>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</si>
  <si>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</si>
  <si>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</si>
  <si>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</si>
  <si>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</si>
  <si>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</si>
  <si>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</si>
  <si>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</si>
  <si>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</si>
  <si>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</si>
  <si>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</si>
  <si>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</si>
  <si>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</si>
  <si>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</si>
  <si>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</si>
  <si>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</si>
  <si>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</si>
  <si>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</si>
  <si>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</si>
  <si>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</si>
  <si>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</si>
  <si>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</si>
  <si>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</si>
  <si>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</si>
  <si>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</si>
  <si>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</si>
  <si>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</si>
  <si>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</si>
  <si>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</si>
  <si>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</si>
  <si>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</si>
  <si>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</si>
  <si>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</si>
  <si>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</si>
  <si>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</si>
  <si>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</si>
  <si>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</si>
  <si>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</si>
  <si>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</si>
  <si>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</si>
  <si>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</si>
  <si>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</si>
  <si>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</si>
  <si>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</si>
  <si>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</si>
  <si>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</si>
  <si>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</si>
  <si>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</si>
  <si>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</si>
  <si>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</si>
  <si>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</si>
  <si>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</si>
  <si>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</si>
  <si>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</si>
  <si>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</si>
  <si>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</si>
  <si>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</si>
  <si>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</si>
  <si>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</si>
  <si>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</si>
  <si>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</si>
  <si>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</si>
  <si>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</si>
  <si>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</si>
  <si>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</si>
  <si>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</si>
  <si>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</si>
  <si>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</si>
  <si>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</si>
  <si>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</si>
  <si>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</si>
  <si>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</si>
  <si>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</si>
  <si>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</si>
  <si>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</si>
  <si>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</si>
  <si>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</si>
  <si>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</si>
  <si>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</si>
  <si>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</si>
  <si>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</si>
  <si>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</si>
  <si>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</si>
  <si>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</si>
  <si>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</si>
  <si>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</si>
  <si>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</si>
  <si>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</si>
  <si>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</si>
  <si>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</si>
  <si>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</si>
  <si>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</si>
  <si>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</si>
  <si>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</si>
  <si>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</si>
  <si>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</si>
  <si>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</si>
  <si>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</si>
  <si>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</si>
  <si>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</si>
  <si>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</si>
  <si>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</si>
  <si>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</si>
  <si>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</si>
  <si>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</si>
  <si>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</si>
  <si>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</si>
  <si>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</si>
  <si>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</si>
  <si>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</si>
  <si>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</si>
  <si>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</si>
  <si>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</si>
  <si>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</si>
  <si>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</si>
  <si>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</si>
  <si>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</si>
  <si>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</si>
  <si>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</si>
  <si>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</si>
  <si>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</si>
  <si>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</si>
  <si>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</si>
  <si>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</si>
  <si>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</si>
  <si>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</si>
  <si>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</si>
  <si>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</si>
  <si>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</si>
  <si>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</si>
  <si>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</si>
  <si>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</si>
  <si>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</si>
  <si>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</si>
  <si>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</si>
  <si>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</si>
  <si>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</si>
  <si>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</si>
  <si>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</si>
  <si>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</si>
  <si>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</si>
  <si>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</si>
  <si>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</si>
  <si>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</si>
  <si>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</si>
  <si>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</si>
  <si>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</si>
  <si>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</si>
  <si>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</si>
  <si>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</si>
  <si>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</si>
  <si>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</si>
  <si>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</si>
  <si>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</si>
  <si>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</si>
  <si>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</si>
  <si>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</si>
  <si>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</si>
  <si>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</si>
  <si>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</si>
  <si>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</si>
  <si>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</si>
  <si>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</si>
  <si>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</si>
  <si>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</si>
  <si>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</si>
  <si>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</si>
  <si>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</si>
  <si>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</si>
  <si>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</si>
  <si>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</si>
  <si>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</si>
  <si>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</si>
  <si>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</si>
  <si>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</si>
  <si>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</si>
  <si>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</si>
  <si>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</si>
  <si>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</si>
  <si>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</si>
  <si>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</si>
  <si>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</si>
  <si>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</si>
  <si>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</si>
  <si>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</si>
  <si>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</si>
  <si>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</si>
  <si>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</si>
  <si>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</si>
  <si>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</si>
  <si>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</si>
  <si>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</si>
  <si>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</si>
  <si>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</si>
  <si>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</si>
  <si>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</si>
  <si>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</si>
  <si>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</si>
  <si>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</si>
  <si>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</si>
  <si>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</si>
  <si>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</si>
  <si>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</si>
  <si>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</si>
  <si>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</si>
  <si>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</si>
  <si>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</si>
  <si>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</si>
  <si>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</si>
  <si>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</si>
  <si>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</si>
  <si>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</si>
  <si>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</si>
  <si>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</si>
  <si>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</si>
  <si>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</si>
  <si>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</si>
  <si>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</si>
  <si>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</si>
  <si>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</si>
  <si>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</si>
  <si>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</si>
  <si>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</si>
  <si>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</si>
  <si>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</si>
  <si>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</si>
  <si>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</si>
  <si>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</si>
  <si>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</si>
  <si>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</si>
  <si>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</si>
  <si>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</si>
  <si>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</si>
  <si>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</si>
  <si>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</si>
  <si>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</si>
  <si>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</si>
  <si>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</si>
  <si>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</si>
  <si>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</si>
  <si>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</si>
  <si>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</si>
  <si>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</si>
  <si>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</si>
  <si>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</si>
  <si>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</si>
  <si>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</si>
  <si>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</si>
  <si>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</si>
  <si>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</si>
  <si>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</si>
  <si>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</si>
  <si>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</si>
  <si>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</si>
  <si>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</si>
  <si>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</si>
  <si>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</si>
  <si>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</si>
  <si>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</si>
  <si>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</si>
  <si>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</si>
  <si>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</si>
  <si>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</si>
  <si>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</si>
  <si>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</si>
  <si>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</si>
  <si>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</si>
  <si>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</si>
  <si>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</si>
  <si>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</si>
  <si>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</si>
  <si>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</si>
  <si>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</si>
  <si>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</si>
  <si>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</si>
  <si>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</si>
  <si>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</si>
  <si>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</si>
  <si>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</si>
  <si>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</si>
  <si>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</si>
  <si>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</si>
  <si>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</si>
  <si>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</si>
  <si>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</si>
  <si>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</si>
  <si>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</si>
  <si>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</si>
  <si>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</si>
  <si>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</si>
  <si>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</si>
  <si>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</si>
  <si>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</si>
  <si>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</si>
  <si>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</si>
  <si>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</si>
  <si>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</si>
  <si>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</si>
  <si>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</si>
  <si>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</si>
  <si>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</si>
  <si>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</si>
  <si>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</si>
  <si>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</si>
  <si>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</si>
  <si>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</si>
  <si>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</si>
  <si>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</si>
  <si>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</si>
  <si>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</si>
  <si>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</si>
  <si>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</si>
  <si>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</si>
  <si>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</si>
  <si>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</si>
  <si>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</si>
  <si>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</si>
  <si>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</si>
  <si>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</si>
  <si>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</si>
  <si>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</si>
  <si>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</si>
  <si>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</si>
  <si>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</si>
  <si>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</si>
  <si>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</si>
  <si>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</si>
  <si>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</si>
  <si>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</si>
  <si>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</si>
  <si>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</si>
  <si>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</si>
  <si>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</si>
  <si>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</si>
  <si>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</si>
  <si>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</si>
  <si>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</si>
  <si>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</si>
  <si>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</si>
  <si>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</si>
  <si>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</si>
  <si>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</si>
  <si>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</si>
  <si>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</si>
  <si>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</si>
  <si>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</si>
  <si>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</si>
  <si>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</si>
  <si>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</si>
  <si>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</si>
  <si>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</si>
  <si>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</si>
  <si>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</si>
  <si>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</si>
  <si>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</si>
  <si>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</si>
  <si>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</si>
  <si>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</si>
  <si>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</si>
  <si>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</si>
  <si>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</si>
  <si>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</si>
  <si>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</si>
  <si>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</si>
  <si>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</si>
  <si>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</si>
  <si>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</si>
  <si>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</si>
  <si>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</si>
  <si>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</si>
  <si>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</si>
  <si>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</si>
  <si>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</si>
  <si>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</si>
  <si>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</si>
  <si>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</si>
  <si>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</si>
  <si>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</si>
  <si>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</si>
  <si>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</si>
  <si>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</si>
  <si>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</si>
  <si>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</si>
  <si>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</si>
  <si>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</si>
  <si>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</si>
  <si>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</si>
  <si>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</si>
  <si>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</si>
  <si>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</si>
  <si>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</si>
  <si>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</si>
  <si>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</si>
  <si>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</si>
  <si>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</si>
  <si>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</si>
  <si>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</si>
  <si>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</si>
  <si>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</si>
  <si>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</si>
  <si>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</si>
  <si>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</si>
  <si>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</si>
  <si>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</si>
  <si>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</si>
  <si>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</si>
  <si>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</si>
  <si>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</si>
  <si>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</si>
  <si>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</si>
  <si>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</si>
  <si>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</si>
  <si>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</si>
  <si>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</si>
  <si>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</si>
  <si>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</si>
  <si>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</si>
  <si>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</si>
  <si>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</si>
  <si>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</si>
  <si>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</si>
  <si>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</si>
  <si>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</si>
  <si>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</si>
  <si>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</si>
  <si>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</si>
  <si>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</si>
  <si>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</si>
  <si>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</si>
  <si>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</si>
  <si>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</si>
  <si>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</si>
  <si>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</si>
  <si>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</si>
  <si>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</si>
  <si>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</si>
  <si>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</si>
  <si>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</si>
  <si>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</si>
  <si>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</si>
  <si>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</si>
  <si>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</si>
  <si>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</si>
  <si>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</si>
  <si>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</si>
  <si>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</si>
  <si>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</si>
  <si>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</si>
  <si>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</si>
  <si>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</si>
  <si>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</si>
  <si>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</si>
  <si>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</si>
  <si>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</si>
  <si>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</si>
  <si>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</si>
  <si>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</si>
  <si>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</si>
  <si>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</si>
  <si>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</si>
  <si>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</si>
  <si>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</si>
  <si>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</si>
  <si>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</si>
  <si>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</si>
  <si>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</si>
  <si>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</si>
  <si>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</si>
  <si>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</si>
  <si>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</si>
  <si>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</si>
  <si>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</si>
  <si>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</si>
  <si>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</si>
  <si>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</si>
  <si>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</si>
  <si>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</si>
  <si>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</si>
  <si>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</si>
  <si>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</si>
  <si>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</si>
  <si>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</si>
  <si>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</si>
  <si>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</si>
  <si>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</si>
  <si>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</si>
  <si>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</si>
  <si>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</si>
  <si>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</si>
  <si>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</si>
  <si>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</si>
  <si>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</si>
  <si>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</si>
  <si>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</si>
  <si>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</si>
  <si>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</si>
  <si>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</si>
  <si>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</si>
  <si>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</si>
  <si>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</si>
  <si>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</si>
  <si>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</si>
  <si>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</si>
  <si>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</si>
  <si>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</si>
  <si>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</si>
  <si>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</si>
  <si>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</si>
  <si>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</si>
  <si>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</si>
  <si>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</si>
  <si>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</si>
  <si>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</si>
  <si>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</si>
  <si>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</si>
  <si>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</si>
  <si>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</si>
  <si>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</si>
  <si>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</si>
  <si>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</si>
  <si>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</si>
  <si>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</si>
  <si>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</si>
  <si>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</si>
  <si>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</si>
  <si>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</si>
  <si>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</si>
  <si>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</si>
  <si>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</si>
  <si>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</si>
  <si>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</si>
  <si>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</si>
  <si>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</si>
  <si>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</si>
  <si>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</si>
  <si>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</si>
  <si>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</si>
  <si>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</si>
  <si>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</si>
  <si>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</si>
  <si>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</si>
  <si>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</si>
  <si>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</si>
  <si>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</si>
  <si>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</si>
  <si>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</si>
  <si>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</si>
  <si>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</si>
  <si>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</si>
  <si>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</si>
  <si>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</si>
  <si>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</si>
  <si>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</si>
  <si>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</si>
  <si>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</si>
  <si>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</si>
  <si>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</si>
  <si>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</si>
  <si>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</si>
  <si>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</si>
  <si>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</si>
  <si>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</si>
  <si>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</si>
  <si>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</si>
  <si>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</si>
  <si>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</si>
  <si>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</si>
  <si>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</si>
  <si>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</si>
  <si>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</si>
  <si>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</si>
  <si>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</si>
  <si>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</si>
  <si>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</si>
  <si>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</si>
  <si>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</si>
  <si>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</si>
  <si>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</si>
  <si>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</si>
  <si>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</si>
  <si>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</si>
  <si>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</si>
  <si>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</si>
  <si>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</si>
  <si>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</si>
  <si>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</si>
  <si>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</si>
  <si>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</si>
  <si>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</si>
  <si>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</si>
  <si>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</si>
  <si>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</si>
  <si>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</si>
  <si>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</si>
  <si>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</si>
  <si>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</si>
  <si>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</si>
  <si>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</si>
  <si>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</si>
  <si>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</si>
  <si>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</si>
  <si>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</si>
  <si>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</si>
  <si>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</si>
  <si>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</si>
  <si>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</si>
  <si>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</si>
  <si>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</si>
  <si>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</si>
  <si>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</si>
  <si>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</si>
  <si>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</si>
  <si>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</si>
  <si>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</si>
  <si>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</si>
  <si>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</si>
  <si>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</si>
  <si>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</si>
  <si>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</si>
  <si>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</si>
  <si>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</si>
  <si>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</si>
  <si>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</si>
  <si>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</si>
  <si>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</si>
  <si>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</si>
  <si>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</si>
  <si>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</si>
  <si>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</si>
  <si>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</si>
  <si>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</si>
  <si>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</si>
  <si>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</si>
  <si>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</si>
  <si>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</si>
  <si>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</si>
  <si>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</si>
  <si>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</si>
  <si>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</si>
  <si>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</si>
  <si>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</si>
  <si>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</si>
  <si>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</si>
  <si>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</si>
  <si>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</si>
  <si>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</si>
  <si>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</si>
  <si>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</si>
  <si>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</si>
  <si>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</si>
  <si>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</si>
  <si>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</si>
  <si>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</si>
  <si>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</si>
  <si>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</si>
  <si>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</si>
  <si>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</si>
  <si>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</si>
  <si>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</si>
  <si>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</si>
  <si>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</si>
  <si>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</si>
  <si>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</si>
  <si>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</si>
  <si>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</si>
  <si>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</si>
  <si>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</si>
  <si>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</si>
  <si>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</si>
  <si>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</si>
  <si>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</si>
  <si>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</si>
  <si>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</si>
  <si>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</si>
  <si>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</si>
  <si>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</si>
  <si>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</si>
  <si>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</si>
  <si>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</si>
  <si>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</si>
  <si>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</si>
  <si>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</si>
  <si>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</si>
  <si>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</si>
  <si>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</si>
  <si>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</si>
  <si>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</si>
  <si>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</si>
  <si>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</si>
  <si>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</si>
  <si>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</si>
  <si>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</si>
  <si>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</si>
  <si>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</si>
  <si>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</si>
  <si>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</si>
  <si>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</si>
  <si>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</si>
  <si>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</si>
  <si>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</si>
  <si>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</si>
  <si>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</si>
  <si>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</si>
  <si>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</si>
  <si>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</si>
  <si>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</si>
  <si>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</si>
  <si>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</si>
  <si>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</si>
  <si>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</si>
  <si>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</si>
  <si>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</si>
  <si>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</si>
  <si>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</si>
  <si>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</si>
  <si>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</si>
  <si>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</si>
  <si>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</si>
  <si>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</si>
  <si>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</si>
  <si>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</si>
  <si>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</si>
  <si>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</si>
  <si>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</si>
  <si>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</si>
  <si>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</si>
  <si>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</si>
  <si>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</si>
  <si>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</si>
  <si>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</si>
  <si>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</si>
  <si>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</si>
  <si>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</si>
  <si>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</si>
  <si>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</si>
  <si>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</si>
  <si>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</si>
  <si>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</si>
  <si>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</si>
  <si>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</si>
  <si>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</si>
  <si>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</si>
  <si>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</si>
  <si>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</si>
  <si>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</si>
  <si>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</si>
  <si>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</si>
  <si>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</si>
  <si>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</si>
  <si>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</si>
  <si>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</si>
  <si>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</si>
  <si>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</si>
  <si>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</si>
  <si>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</si>
  <si>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</si>
  <si>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</si>
  <si>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</si>
  <si>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</si>
  <si>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</si>
  <si>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</si>
  <si>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</si>
  <si>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</si>
  <si>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</si>
  <si>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</si>
  <si>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</si>
  <si>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</si>
  <si>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</si>
  <si>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</si>
  <si>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</si>
  <si>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</si>
  <si>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</si>
  <si>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</si>
  <si>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</si>
  <si>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</si>
  <si>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</si>
  <si>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</si>
  <si>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</si>
  <si>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</si>
  <si>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</si>
  <si>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</si>
  <si>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</si>
  <si>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</si>
  <si>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</si>
  <si>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</si>
  <si>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</si>
  <si>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</si>
  <si>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</si>
  <si>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</si>
  <si>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</si>
  <si>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</si>
  <si>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</si>
  <si>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</si>
  <si>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</si>
  <si>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</si>
  <si>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</si>
  <si>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</si>
  <si>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</si>
  <si>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</si>
  <si>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</si>
  <si>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</si>
  <si>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</si>
  <si>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</si>
  <si>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</si>
  <si>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</si>
  <si>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</si>
  <si>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</si>
  <si>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</si>
  <si>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</si>
  <si>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</si>
  <si>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</si>
  <si>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</si>
  <si>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</si>
  <si>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</si>
  <si>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</si>
  <si>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</si>
  <si>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</si>
  <si>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</si>
  <si>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</si>
  <si>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</si>
  <si>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</si>
  <si>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</si>
  <si>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</si>
  <si>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</si>
  <si>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</si>
  <si>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</si>
  <si>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</si>
  <si>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</si>
  <si>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</si>
  <si>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</si>
  <si>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</si>
  <si>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</si>
  <si>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</si>
  <si>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</si>
  <si>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</si>
  <si>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</si>
  <si>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</si>
  <si>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</si>
  <si>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</si>
  <si>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</si>
  <si>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</si>
  <si>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</si>
  <si>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</si>
  <si>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</si>
  <si>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</si>
  <si>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</si>
  <si>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</si>
  <si>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</si>
  <si>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</si>
  <si>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</si>
  <si>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</si>
  <si>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</si>
  <si>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</si>
  <si>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</si>
  <si>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</si>
  <si>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</si>
  <si>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</si>
  <si>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</si>
  <si>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</si>
  <si>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</si>
  <si>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</si>
  <si>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</si>
  <si>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</si>
  <si>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</si>
  <si>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</si>
  <si>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</si>
  <si>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</si>
  <si>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</si>
  <si>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</si>
  <si>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</si>
  <si>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</si>
  <si>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</si>
  <si>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</si>
  <si>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</si>
  <si>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</si>
  <si>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</si>
  <si>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</si>
  <si>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</si>
  <si>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</si>
  <si>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</si>
  <si>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</si>
  <si>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</si>
  <si>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</si>
  <si>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</si>
  <si>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</si>
  <si>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</si>
  <si>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</si>
  <si>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</si>
  <si>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</si>
  <si>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</si>
  <si>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</si>
  <si>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</si>
  <si>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</si>
  <si>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</si>
  <si>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</si>
  <si>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</si>
  <si>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</si>
  <si>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</si>
  <si>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</si>
  <si>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</si>
  <si>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</si>
  <si>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</si>
  <si>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</si>
  <si>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</si>
  <si>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</si>
  <si>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</si>
  <si>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</si>
  <si>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</si>
  <si>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</si>
  <si>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</si>
  <si>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</si>
  <si>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</si>
  <si>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</si>
  <si>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</si>
  <si>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</si>
  <si>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</si>
  <si>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</si>
  <si>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</si>
  <si>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</si>
  <si>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</si>
  <si>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</si>
  <si>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</si>
  <si>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</si>
  <si>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</si>
  <si>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</si>
  <si>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</si>
  <si>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</si>
  <si>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</si>
  <si>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</si>
  <si>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</si>
  <si>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</si>
  <si>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</si>
  <si>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</si>
  <si>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</si>
  <si>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</si>
  <si>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</si>
  <si>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</si>
  <si>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</si>
  <si>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</si>
  <si>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</si>
  <si>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</si>
  <si>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</si>
  <si>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</si>
  <si>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</si>
  <si>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</si>
  <si>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</si>
  <si>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</si>
  <si>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</si>
  <si>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</si>
  <si>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</si>
  <si>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</si>
  <si>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</si>
  <si>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</si>
  <si>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</si>
  <si>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</si>
  <si>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</si>
  <si>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</si>
  <si>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</si>
  <si>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</si>
  <si>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</si>
  <si>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</si>
  <si>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</si>
  <si>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</si>
  <si>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</si>
  <si>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</si>
  <si>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</si>
  <si>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</si>
  <si>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</si>
  <si>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</si>
  <si>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</si>
  <si>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</si>
  <si>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</si>
  <si>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</si>
  <si>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</si>
  <si>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</si>
  <si>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</si>
  <si>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</si>
  <si>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</si>
  <si>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</si>
  <si>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</si>
  <si>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</si>
  <si>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</si>
  <si>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</si>
  <si>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</si>
  <si>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</si>
  <si>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</si>
  <si>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</si>
  <si>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</si>
  <si>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</si>
  <si>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</si>
  <si>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</si>
  <si>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</si>
  <si>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</si>
  <si>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</si>
  <si>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</si>
  <si>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</si>
  <si>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</si>
  <si>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</si>
  <si>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</si>
  <si>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</si>
  <si>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</si>
  <si>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</si>
  <si>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</si>
  <si>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</si>
  <si>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</si>
  <si>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</si>
  <si>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</si>
  <si>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</si>
  <si>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</si>
  <si>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</si>
  <si>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</si>
  <si>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</si>
  <si>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</si>
  <si>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</si>
  <si>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</si>
  <si>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</si>
  <si>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</si>
  <si>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</si>
  <si>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</si>
  <si>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</si>
  <si>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</si>
  <si>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</si>
  <si>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</si>
  <si>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</si>
  <si>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</si>
  <si>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</si>
  <si>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</si>
  <si>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</si>
  <si>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</si>
  <si>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</si>
  <si>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</si>
  <si>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</si>
  <si>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</si>
  <si>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</si>
  <si>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</si>
  <si>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</si>
  <si>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</si>
  <si>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</si>
  <si>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</si>
  <si>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</si>
  <si>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</si>
  <si>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</si>
  <si>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</si>
  <si>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</si>
  <si>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</si>
  <si>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</si>
  <si>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</si>
  <si>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</si>
  <si>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</si>
  <si>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</si>
  <si>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</si>
  <si>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</si>
  <si>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</si>
  <si>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</si>
  <si>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</si>
  <si>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</si>
  <si>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</si>
  <si>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</si>
  <si>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</si>
  <si>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</si>
  <si>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</si>
  <si>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</si>
  <si>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</si>
  <si>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</si>
  <si>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</si>
  <si>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</si>
  <si>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</si>
  <si>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</si>
  <si>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</si>
  <si>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</si>
  <si>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</si>
  <si>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</si>
  <si>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</si>
  <si>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</si>
  <si>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</si>
  <si>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</si>
  <si>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</si>
  <si>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</si>
  <si>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</si>
  <si>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</si>
  <si>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</si>
  <si>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</si>
  <si>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</si>
  <si>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</si>
  <si>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</si>
  <si>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</si>
  <si>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</si>
  <si>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</si>
  <si>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</si>
  <si>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</si>
  <si>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</si>
  <si>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</si>
  <si>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</si>
  <si>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</si>
  <si>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</si>
  <si>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</si>
  <si>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</si>
  <si>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</si>
  <si>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</si>
  <si>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</si>
  <si>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</si>
  <si>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</si>
  <si>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</si>
  <si>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</si>
  <si>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</si>
  <si>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</si>
  <si>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</si>
  <si>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</si>
  <si>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</si>
  <si>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</si>
  <si>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</si>
  <si>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</si>
  <si>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</si>
  <si>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</si>
  <si>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</si>
  <si>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</si>
  <si>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</si>
  <si>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</si>
  <si>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</si>
  <si>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</si>
  <si>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</si>
  <si>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</si>
  <si>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</si>
  <si>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</si>
  <si>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</si>
  <si>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</si>
  <si>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</si>
  <si>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</si>
  <si>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</si>
  <si>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</si>
  <si>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</si>
  <si>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</si>
  <si>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</si>
  <si>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</si>
  <si>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</si>
  <si>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</si>
  <si>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</si>
  <si>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</si>
  <si>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</si>
  <si>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</si>
  <si>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</si>
  <si>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</si>
  <si>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</si>
  <si>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</si>
  <si>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</si>
  <si>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</si>
  <si>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</si>
  <si>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</si>
  <si>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</si>
  <si>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</si>
  <si>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</si>
  <si>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</si>
  <si>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</si>
  <si>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</si>
  <si>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</si>
  <si>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</si>
  <si>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</si>
  <si>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</si>
  <si>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</si>
  <si>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</si>
  <si>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</si>
  <si>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</si>
  <si>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</si>
  <si>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</si>
  <si>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</si>
  <si>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</si>
  <si>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</si>
  <si>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</si>
  <si>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</si>
  <si>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</si>
  <si>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</si>
  <si>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</si>
  <si>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</si>
  <si>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</si>
  <si>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</si>
  <si>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</si>
  <si>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</si>
  <si>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</si>
  <si>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</si>
  <si>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</si>
  <si>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</si>
  <si>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</si>
  <si>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</si>
  <si>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</si>
  <si>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</si>
  <si>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</si>
  <si>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</si>
  <si>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</si>
  <si>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</si>
  <si>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</si>
  <si>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</si>
  <si>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</si>
  <si>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</si>
  <si>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</si>
  <si>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</si>
  <si>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</si>
  <si>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</si>
  <si>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</si>
  <si>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</si>
  <si>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</si>
  <si>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</si>
  <si>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</si>
  <si>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</si>
  <si>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</si>
  <si>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</si>
  <si>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</si>
  <si>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</si>
  <si>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</si>
  <si>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</si>
  <si>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</si>
  <si>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</si>
  <si>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</si>
  <si>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</si>
  <si>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</si>
  <si>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</si>
  <si>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</si>
  <si>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</si>
  <si>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</si>
  <si>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</si>
  <si>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</si>
  <si>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</si>
  <si>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</si>
  <si>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</si>
  <si>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</si>
  <si>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</si>
  <si>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</si>
  <si>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</si>
  <si>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</si>
  <si>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</si>
  <si>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</si>
  <si>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</si>
  <si>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</si>
  <si>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</si>
  <si>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</si>
  <si>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</si>
  <si>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</si>
  <si>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</si>
  <si>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</si>
  <si>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</si>
  <si>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</si>
  <si>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</si>
  <si>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</si>
  <si>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</si>
  <si>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</si>
  <si>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</si>
  <si>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</si>
  <si>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</si>
  <si>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</si>
  <si>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</si>
  <si>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</si>
  <si>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</si>
  <si>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</si>
  <si>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</si>
  <si>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</si>
  <si>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</si>
  <si>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</si>
  <si>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</si>
  <si>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</si>
  <si>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</si>
  <si>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</si>
  <si>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</si>
  <si>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</si>
  <si>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</si>
  <si>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</si>
  <si>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</si>
  <si>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</si>
  <si>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</si>
  <si>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</si>
  <si>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</si>
  <si>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</si>
  <si>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</si>
  <si>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</si>
  <si>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</si>
  <si>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</si>
  <si>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</si>
  <si>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</si>
  <si>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</si>
  <si>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</si>
  <si>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</si>
  <si>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</si>
  <si>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</si>
  <si>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</si>
  <si>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</si>
  <si>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</si>
  <si>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</si>
  <si>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</si>
  <si>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</si>
  <si>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</si>
  <si>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</si>
  <si>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</si>
  <si>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</si>
  <si>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</si>
  <si>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</si>
  <si>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</si>
  <si>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</si>
  <si>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</si>
  <si>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</si>
  <si>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</si>
  <si>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</si>
  <si>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</si>
  <si>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</si>
  <si>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</si>
  <si>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</si>
  <si>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</si>
  <si>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</si>
  <si>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</si>
  <si>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</si>
  <si>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</si>
  <si>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</si>
  <si>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</si>
  <si>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</si>
  <si>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</si>
  <si>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</si>
  <si>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</si>
  <si>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</si>
  <si>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</si>
  <si>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</si>
  <si>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</si>
  <si>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</si>
  <si>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</si>
  <si>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</si>
  <si>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</si>
  <si>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</si>
  <si>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</si>
  <si>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</si>
  <si>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</si>
  <si>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</si>
  <si>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</si>
  <si>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</si>
  <si>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</si>
  <si>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</si>
  <si>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</si>
  <si>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</si>
  <si>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</si>
  <si>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</si>
  <si>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</si>
  <si>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</si>
  <si>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</si>
  <si>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</si>
  <si>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</si>
  <si>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</si>
  <si>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</si>
  <si>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</si>
  <si>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</si>
  <si>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</si>
  <si>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</si>
  <si>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</si>
  <si>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</si>
  <si>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</si>
  <si>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</si>
  <si>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</si>
  <si>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</si>
  <si>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</si>
  <si>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</si>
  <si>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</si>
  <si>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</si>
  <si>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</si>
  <si>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</si>
  <si>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</si>
  <si>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</si>
  <si>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</si>
  <si>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</si>
  <si>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</si>
  <si>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</si>
  <si>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</si>
  <si>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</si>
  <si>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</si>
  <si>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</si>
  <si>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</si>
  <si>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</si>
  <si>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</si>
  <si>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</si>
  <si>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</si>
  <si>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</si>
  <si>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</si>
  <si>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</si>
  <si>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</si>
  <si>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</si>
  <si>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</si>
  <si>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</si>
  <si>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</si>
  <si>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</si>
  <si>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</si>
  <si>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</si>
  <si>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</si>
  <si>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</si>
  <si>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</si>
  <si>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</si>
  <si>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</si>
  <si>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</si>
  <si>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</si>
  <si>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</si>
  <si>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</si>
  <si>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</si>
  <si>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</si>
  <si>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</si>
  <si>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</si>
  <si>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</si>
  <si>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</si>
  <si>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</si>
  <si>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</si>
  <si>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</si>
  <si>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</si>
  <si>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</si>
  <si>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</si>
  <si>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</si>
  <si>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</si>
  <si>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</si>
  <si>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</si>
  <si>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</si>
  <si>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</si>
  <si>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</si>
  <si>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</si>
  <si>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</si>
  <si>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</si>
  <si>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</si>
  <si>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</si>
  <si>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</si>
  <si>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</si>
  <si>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</si>
  <si>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</si>
  <si>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</si>
  <si>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</si>
  <si>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</si>
  <si>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</si>
  <si>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</si>
  <si>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</si>
  <si>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</si>
  <si>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</si>
  <si>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</si>
  <si>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</si>
  <si>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</si>
  <si>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</si>
  <si>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</si>
  <si>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</si>
  <si>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</si>
  <si>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</si>
  <si>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</si>
  <si>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</si>
  <si>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</si>
  <si>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</si>
  <si>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</si>
  <si>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</si>
  <si>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</si>
  <si>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</si>
  <si>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</si>
  <si>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</si>
  <si>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</si>
  <si>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</si>
  <si>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</si>
  <si>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</si>
  <si>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</si>
  <si>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</si>
  <si>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</si>
  <si>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</si>
  <si>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</si>
  <si>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</si>
  <si>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</si>
  <si>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</si>
  <si>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</si>
  <si>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</si>
  <si>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</si>
  <si>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</si>
  <si>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</si>
  <si>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</si>
  <si>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</si>
  <si>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</si>
  <si>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</si>
  <si>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</si>
  <si>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</si>
  <si>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</si>
  <si>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</si>
  <si>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</si>
  <si>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</si>
  <si>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</si>
  <si>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</si>
  <si>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</si>
  <si>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</si>
  <si>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</si>
  <si>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</si>
  <si>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</si>
  <si>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</si>
  <si>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</si>
  <si>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</si>
  <si>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</si>
  <si>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</si>
  <si>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</si>
  <si>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</si>
  <si>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</si>
  <si>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</si>
  <si>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</si>
  <si>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</si>
  <si>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</si>
  <si>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</si>
  <si>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</si>
  <si>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</si>
  <si>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</si>
  <si>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</si>
  <si>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</si>
  <si>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</si>
  <si>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</si>
  <si>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</si>
  <si>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</si>
  <si>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</si>
  <si>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</si>
  <si>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</si>
  <si>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</si>
  <si>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</si>
  <si>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</si>
  <si>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</si>
  <si>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</si>
  <si>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</si>
  <si>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</si>
  <si>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</si>
  <si>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</si>
  <si>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</si>
  <si>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</si>
  <si>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</si>
  <si>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</si>
  <si>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</si>
  <si>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</si>
  <si>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</si>
  <si>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</si>
  <si>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</si>
  <si>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</si>
  <si>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</si>
  <si>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</si>
  <si>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</si>
  <si>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</si>
  <si>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</si>
  <si>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</si>
  <si>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</si>
  <si>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</si>
  <si>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</si>
  <si>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</si>
  <si>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</si>
  <si>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</si>
  <si>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</si>
  <si>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</si>
  <si>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</si>
  <si>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</si>
  <si>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</si>
  <si>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</si>
  <si>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</si>
  <si>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</si>
  <si>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</si>
  <si>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</si>
  <si>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</si>
  <si>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</si>
  <si>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</si>
  <si>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</si>
  <si>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</si>
  <si>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</si>
  <si>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</si>
  <si>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</si>
  <si>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</si>
  <si>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</si>
  <si>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</si>
  <si>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</si>
  <si>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</si>
  <si>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</si>
  <si>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</si>
  <si>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</si>
  <si>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</si>
  <si>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</si>
  <si>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</si>
  <si>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</si>
  <si>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</si>
  <si>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</si>
  <si>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</si>
  <si>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</si>
  <si>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</si>
  <si>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</si>
  <si>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</si>
  <si>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</si>
  <si>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</si>
  <si>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</si>
  <si>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</si>
  <si>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</si>
  <si>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</si>
  <si>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</si>
  <si>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</si>
  <si>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</si>
  <si>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</si>
  <si>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</si>
  <si>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</si>
  <si>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</si>
  <si>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</si>
  <si>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</si>
  <si>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</si>
  <si>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</si>
  <si>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</si>
  <si>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</si>
  <si>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</si>
  <si>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</si>
  <si>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</si>
  <si>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</si>
  <si>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</si>
  <si>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</si>
  <si>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</si>
  <si>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</si>
  <si>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</si>
  <si>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</si>
  <si>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</si>
  <si>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</si>
  <si>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</si>
  <si>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</si>
  <si>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</si>
  <si>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</si>
  <si>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</si>
  <si>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</si>
  <si>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</si>
  <si>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</si>
  <si>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</si>
  <si>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</si>
  <si>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</si>
  <si>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</si>
  <si>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</si>
  <si>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</si>
  <si>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</si>
  <si>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</si>
  <si>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</si>
  <si>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</si>
  <si>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</si>
  <si>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</si>
  <si>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</si>
  <si>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</si>
  <si>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</si>
  <si>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</si>
  <si>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</si>
  <si>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</si>
  <si>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</si>
  <si>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</si>
  <si>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</si>
  <si>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</si>
  <si>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</si>
  <si>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</si>
  <si>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</si>
  <si>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</si>
  <si>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</si>
  <si>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</si>
  <si>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</si>
  <si>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</si>
  <si>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</si>
  <si>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</si>
  <si>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</si>
  <si>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</si>
  <si>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</si>
  <si>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</si>
  <si>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</si>
  <si>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</si>
  <si>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</si>
  <si>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</si>
  <si>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</si>
  <si>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</si>
  <si>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</si>
  <si>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</si>
  <si>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</si>
  <si>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</si>
  <si>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</si>
  <si>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</si>
  <si>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</si>
  <si>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</si>
  <si>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</si>
  <si>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</si>
  <si>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</si>
  <si>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</si>
  <si>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</si>
  <si>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</si>
  <si>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</si>
  <si>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</si>
  <si>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</si>
  <si>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</si>
  <si>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</si>
  <si>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</si>
  <si>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</si>
  <si>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</si>
  <si>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</si>
  <si>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</si>
  <si>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</si>
  <si>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</si>
  <si>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</si>
  <si>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</si>
  <si>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</si>
  <si>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</si>
  <si>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</si>
  <si>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</si>
  <si>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</si>
  <si>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</si>
  <si>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</si>
  <si>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</si>
  <si>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</si>
  <si>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</si>
  <si>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</si>
  <si>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</si>
  <si>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</si>
  <si>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</si>
  <si>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</si>
  <si>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</si>
  <si>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</si>
  <si>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</si>
  <si>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</si>
  <si>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</si>
  <si>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</si>
  <si>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</si>
  <si>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</si>
  <si>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</si>
  <si>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</si>
  <si>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</si>
  <si>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</si>
  <si>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</si>
  <si>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</si>
  <si>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</si>
  <si>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</si>
  <si>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</si>
  <si>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</si>
  <si>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</si>
  <si>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</si>
  <si>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</si>
  <si>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</si>
  <si>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</si>
  <si>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</si>
  <si>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</si>
  <si>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</si>
  <si>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</si>
  <si>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</si>
  <si>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</si>
  <si>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</si>
  <si>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</si>
  <si>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</si>
  <si>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</si>
  <si>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</si>
  <si>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</si>
  <si>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</si>
  <si>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</si>
  <si>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</si>
  <si>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</si>
  <si>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</si>
  <si>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</si>
  <si>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</si>
  <si>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</si>
  <si>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</si>
  <si>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</si>
  <si>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</si>
  <si>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</si>
  <si>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</si>
  <si>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</si>
  <si>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</si>
  <si>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</si>
  <si>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</si>
  <si>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</si>
  <si>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</si>
  <si>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</si>
  <si>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</si>
  <si>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</si>
  <si>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</si>
  <si>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</si>
  <si>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</si>
  <si>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</si>
  <si>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</si>
  <si>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</si>
  <si>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</si>
  <si>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</si>
  <si>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</si>
  <si>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</si>
  <si>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</si>
  <si>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</si>
  <si>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</si>
  <si>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</si>
  <si>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</si>
  <si>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</si>
  <si>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</si>
  <si>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</si>
  <si>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</si>
  <si>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</si>
  <si>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</si>
  <si>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</si>
  <si>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</si>
  <si>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</si>
  <si>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</si>
  <si>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</si>
  <si>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</si>
  <si>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</si>
  <si>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</si>
  <si>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</si>
  <si>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</si>
  <si>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</si>
  <si>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</si>
  <si>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</si>
  <si>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</si>
  <si>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</si>
  <si>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</si>
  <si>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</si>
  <si>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</si>
  <si>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</si>
  <si>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</si>
  <si>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</si>
  <si>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</si>
  <si>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</si>
  <si>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</si>
  <si>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</si>
  <si>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</si>
  <si>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</si>
  <si>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</si>
  <si>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</si>
  <si>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</si>
  <si>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核定资产</t>
  </si>
  <si>
    <t>房地产市场价值</t>
  </si>
  <si>
    <t>其他：</t>
  </si>
  <si>
    <t>新疆省</t>
    <phoneticPr fontId="6" type="noConversion"/>
  </si>
  <si>
    <r>
      <rPr>
        <sz val="12"/>
        <color theme="9" tint="-0.249977111117893"/>
        <rFont val="宋体"/>
        <family val="3"/>
        <charset val="134"/>
      </rPr>
      <t>昌吉市延安南路</t>
    </r>
    <r>
      <rPr>
        <sz val="12"/>
        <color theme="9" tint="-0.249977111117893"/>
        <rFont val="Arial"/>
        <family val="2"/>
      </rPr>
      <t>46</t>
    </r>
    <r>
      <rPr>
        <sz val="12"/>
        <color theme="9" tint="-0.249977111117893"/>
        <rFont val="宋体"/>
        <family val="3"/>
        <charset val="134"/>
      </rPr>
      <t>号小区</t>
    </r>
    <phoneticPr fontId="6" type="noConversion"/>
  </si>
  <si>
    <t>企业</t>
  </si>
  <si>
    <t>新疆恒景房地产开发有限公司</t>
    <phoneticPr fontId="6" type="noConversion"/>
  </si>
  <si>
    <t>出让</t>
  </si>
  <si>
    <r>
      <t>1</t>
    </r>
    <r>
      <rPr>
        <sz val="10"/>
        <color indexed="8"/>
        <rFont val="宋体"/>
        <family val="3"/>
        <charset val="134"/>
      </rPr>
      <t>层</t>
    </r>
    <phoneticPr fontId="3" type="noConversion"/>
  </si>
  <si>
    <r>
      <t>2</t>
    </r>
    <r>
      <rPr>
        <sz val="10"/>
        <color indexed="8"/>
        <rFont val="宋体"/>
        <family val="3"/>
        <charset val="134"/>
      </rPr>
      <t>层</t>
    </r>
    <phoneticPr fontId="3" type="noConversion"/>
  </si>
  <si>
    <t>车库</t>
  </si>
  <si>
    <t>是</t>
  </si>
  <si>
    <t>否</t>
  </si>
  <si>
    <t>地上</t>
  </si>
  <si>
    <t>独立商业</t>
  </si>
  <si>
    <t>地下</t>
  </si>
  <si>
    <t>车库—商业</t>
  </si>
  <si>
    <r>
      <t>1</t>
    </r>
    <r>
      <rPr>
        <sz val="10"/>
        <color indexed="8"/>
        <rFont val="宋体"/>
        <family val="3"/>
        <charset val="134"/>
      </rPr>
      <t>层</t>
    </r>
    <phoneticPr fontId="7" type="noConversion"/>
  </si>
  <si>
    <r>
      <t>2</t>
    </r>
    <r>
      <rPr>
        <sz val="10"/>
        <color indexed="8"/>
        <rFont val="宋体"/>
        <family val="3"/>
        <charset val="134"/>
      </rPr>
      <t>层</t>
    </r>
    <phoneticPr fontId="7" type="noConversion"/>
  </si>
  <si>
    <t>成新度</t>
  </si>
  <si>
    <t>收益法 (元)</t>
  </si>
  <si>
    <t>1层</t>
  </si>
  <si>
    <t>钢混</t>
  </si>
  <si>
    <t>非生产用房</t>
  </si>
  <si>
    <t>比较法</t>
  </si>
  <si>
    <t>押一</t>
  </si>
  <si>
    <t>售价</t>
  </si>
  <si>
    <t>正常</t>
    <phoneticPr fontId="31" type="noConversion"/>
  </si>
  <si>
    <t>现房</t>
  </si>
  <si>
    <t>比较法-商业</t>
  </si>
  <si>
    <t>收益法 (元) 办公</t>
  </si>
  <si>
    <t>收益法 (元) 办公</t>
    <phoneticPr fontId="16" type="noConversion"/>
  </si>
  <si>
    <t>2层</t>
  </si>
  <si>
    <t>正常</t>
    <phoneticPr fontId="32" type="noConversion"/>
  </si>
  <si>
    <t>办公</t>
    <phoneticPr fontId="32" type="noConversion"/>
  </si>
  <si>
    <t>30-40（含）</t>
  </si>
  <si>
    <t>比较法-办公</t>
  </si>
  <si>
    <t>商业</t>
    <phoneticPr fontId="31" type="noConversion"/>
  </si>
  <si>
    <t>恒景国际</t>
    <phoneticPr fontId="3" type="noConversion"/>
  </si>
  <si>
    <t>中山新街口</t>
    <phoneticPr fontId="3" type="noConversion"/>
  </si>
  <si>
    <t>和谐玫瑰园</t>
    <phoneticPr fontId="3" type="noConversion"/>
  </si>
  <si>
    <t>一层</t>
    <phoneticPr fontId="143" type="noConversion"/>
  </si>
  <si>
    <t>二层</t>
    <phoneticPr fontId="143" type="noConversion"/>
  </si>
  <si>
    <t>一般</t>
  </si>
  <si>
    <t>较好</t>
  </si>
  <si>
    <t>七通</t>
  </si>
  <si>
    <t>七通</t>
    <phoneticPr fontId="31" type="noConversion"/>
  </si>
  <si>
    <t>较好</t>
    <phoneticPr fontId="31" type="noConversion"/>
  </si>
  <si>
    <t>单面临街</t>
    <phoneticPr fontId="31" type="noConversion"/>
  </si>
  <si>
    <t>较大</t>
    <phoneticPr fontId="31" type="noConversion"/>
  </si>
  <si>
    <t>写字楼底商</t>
  </si>
  <si>
    <t>写字楼底商</t>
    <phoneticPr fontId="31" type="noConversion"/>
  </si>
  <si>
    <t>钢混</t>
    <phoneticPr fontId="31" type="noConversion"/>
  </si>
  <si>
    <t>六通</t>
    <phoneticPr fontId="31" type="noConversion"/>
  </si>
  <si>
    <t>4.2</t>
    <phoneticPr fontId="31" type="noConversion"/>
  </si>
  <si>
    <t>毛坯</t>
    <phoneticPr fontId="31" type="noConversion"/>
  </si>
  <si>
    <t>精装</t>
    <phoneticPr fontId="31" type="noConversion"/>
  </si>
  <si>
    <t>估价对象周边商业氛围一般，人流量较大，商业繁华度一般</t>
    <phoneticPr fontId="25" type="noConversion"/>
  </si>
  <si>
    <t>估价对象周边办公楼项目数量一般，入驻率较高，办公集聚程度一般</t>
    <phoneticPr fontId="25" type="noConversion"/>
  </si>
  <si>
    <t>区域自然环境：；人文环境；综合评价环境状况较好</t>
    <phoneticPr fontId="41" type="noConversion"/>
  </si>
  <si>
    <t>七通</t>
    <phoneticPr fontId="32" type="noConversion"/>
  </si>
  <si>
    <t>快速路</t>
    <phoneticPr fontId="32" type="noConversion"/>
  </si>
  <si>
    <t>主干道</t>
  </si>
  <si>
    <t>主干道</t>
    <phoneticPr fontId="32" type="noConversion"/>
  </si>
  <si>
    <t>次干道</t>
    <phoneticPr fontId="32" type="noConversion"/>
  </si>
  <si>
    <t>支路</t>
    <phoneticPr fontId="32" type="noConversion"/>
  </si>
  <si>
    <t>商业综合体</t>
    <phoneticPr fontId="32" type="noConversion"/>
  </si>
  <si>
    <t>钢混</t>
    <phoneticPr fontId="32" type="noConversion"/>
  </si>
  <si>
    <t>精装</t>
    <phoneticPr fontId="32" type="noConversion"/>
  </si>
  <si>
    <t>六通</t>
    <phoneticPr fontId="32" type="noConversion"/>
  </si>
  <si>
    <t>毛坯</t>
    <phoneticPr fontId="32" type="noConversion"/>
  </si>
  <si>
    <t>较好</t>
    <phoneticPr fontId="32" type="noConversion"/>
  </si>
  <si>
    <t>环宇广场</t>
    <phoneticPr fontId="3" type="noConversion"/>
  </si>
  <si>
    <t>估价对象周边商业氛围一般，人流量较大，商业繁华度一般</t>
    <phoneticPr fontId="31" type="noConversion"/>
  </si>
  <si>
    <t>估价对象周边办公楼项目数量一般，入驻率较高，办公集聚程度一般</t>
    <phoneticPr fontId="32" type="noConversion"/>
  </si>
  <si>
    <t>估价对象周边道路状况、公共交通通达情况、停车便捷程度，综合评价交通便捷度较好</t>
    <phoneticPr fontId="4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</si>
  <si>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</si>
  <si>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</si>
  <si>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</si>
  <si>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2"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</si>
  <si>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</si>
  <si>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1" type="noConversion"/>
  </si>
  <si>
    <t>估价对象所在区域公共配套设施较齐备</t>
    <phoneticPr fontId="41" type="noConversion"/>
  </si>
  <si>
    <t>估价对象所在区域基础设施七通</t>
    <phoneticPr fontId="25" type="noConversion"/>
  </si>
  <si>
    <t>估价对象所在区域公共配套设施较齐备</t>
    <phoneticPr fontId="31" type="noConversion"/>
  </si>
  <si>
    <t>估价对象所在区域公共配套设施较齐备</t>
    <phoneticPr fontId="32" type="noConversion"/>
  </si>
  <si>
    <t>估价对象所在区域基础设施七通</t>
    <phoneticPr fontId="31" type="noConversion"/>
  </si>
  <si>
    <t>估价对象所在区域基础设施七通</t>
    <phoneticPr fontId="31" type="noConversion"/>
  </si>
  <si>
    <t>估价对象所在区域基础设施七通</t>
    <phoneticPr fontId="32" type="noConversion"/>
  </si>
  <si>
    <t>估价对象所在区域基础设施七通</t>
    <phoneticPr fontId="32" type="noConversion"/>
  </si>
  <si>
    <t>区域自然环境：；人文环境；综合评价环境状况较好</t>
    <phoneticPr fontId="31" type="noConversion"/>
  </si>
  <si>
    <t>区域自然环境：；人文环境；综合评价环境状况较好</t>
    <phoneticPr fontId="31" type="noConversion"/>
  </si>
  <si>
    <t>区域自然环境：；人文环境；综合评价环境状况较好</t>
    <phoneticPr fontId="32" type="noConversion"/>
  </si>
  <si>
    <t>区域自然环境：；人文环境；综合评价环境状况一般</t>
    <phoneticPr fontId="32" type="noConversion"/>
  </si>
  <si>
    <t>区域自然环境：；人文环境；综合评价环境状况一般</t>
    <phoneticPr fontId="31" type="noConversion"/>
  </si>
  <si>
    <t>延安南路</t>
    <phoneticPr fontId="32" type="noConversion"/>
  </si>
  <si>
    <t>北京路</t>
    <phoneticPr fontId="32" type="noConversion"/>
  </si>
  <si>
    <t>广宁路</t>
    <phoneticPr fontId="32" type="noConversion"/>
  </si>
  <si>
    <t>2018-1-0276-P01HDZC2</t>
    <phoneticPr fontId="6" type="noConversion"/>
  </si>
  <si>
    <t>新华人寿保险股份有限公司新疆分公司</t>
    <phoneticPr fontId="6" type="noConversion"/>
  </si>
  <si>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</si>
  <si>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20160073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</si>
  <si>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t>原件</t>
  </si>
  <si>
    <t>通路</t>
  </si>
  <si>
    <t>通电</t>
  </si>
  <si>
    <t>通讯</t>
  </si>
  <si>
    <t>通上水</t>
  </si>
  <si>
    <t>通下水</t>
  </si>
  <si>
    <t>通热</t>
  </si>
  <si>
    <t>收益比率</t>
  </si>
  <si>
    <t>总价</t>
  </si>
  <si>
    <t>按租金收入计税</t>
  </si>
  <si>
    <t>低区</t>
    <phoneticPr fontId="32" type="noConversion"/>
  </si>
  <si>
    <t>估价对象周边商业氛围一般，人流量较大，商业繁华度一般</t>
  </si>
  <si>
    <t>估价对象周边商业氛围一般，人流量较大，商业繁华度一般</t>
    <phoneticPr fontId="31" type="noConversion"/>
  </si>
  <si>
    <t>市调</t>
    <phoneticPr fontId="143" type="noConversion"/>
  </si>
  <si>
    <t>和谐玫瑰园</t>
    <phoneticPr fontId="143" type="noConversion"/>
  </si>
  <si>
    <r>
      <t>2</t>
    </r>
    <r>
      <rPr>
        <sz val="11"/>
        <color theme="1"/>
        <rFont val="宋体"/>
        <family val="3"/>
        <charset val="134"/>
        <scheme val="minor"/>
      </rPr>
      <t>017年年底一层22000</t>
    </r>
    <phoneticPr fontId="143" type="noConversion"/>
  </si>
  <si>
    <r>
      <t>2</t>
    </r>
    <r>
      <rPr>
        <sz val="11"/>
        <color theme="1"/>
        <rFont val="宋体"/>
        <family val="3"/>
        <charset val="134"/>
        <scheme val="minor"/>
      </rPr>
      <t>018年新盘预计一层25000-30000,2层8000+，租金3元左右</t>
    </r>
    <phoneticPr fontId="143" type="noConversion"/>
  </si>
  <si>
    <t>中山新街口</t>
    <phoneticPr fontId="143" type="noConversion"/>
  </si>
  <si>
    <r>
      <t>一层2</t>
    </r>
    <r>
      <rPr>
        <sz val="11"/>
        <color theme="1"/>
        <rFont val="宋体"/>
        <family val="3"/>
        <charset val="134"/>
        <scheme val="minor"/>
      </rPr>
      <t>8000，二层8800</t>
    </r>
    <phoneticPr fontId="143" type="noConversion"/>
  </si>
  <si>
    <r>
      <t>一层租金2</t>
    </r>
    <r>
      <rPr>
        <sz val="11"/>
        <color theme="1"/>
        <rFont val="宋体"/>
        <family val="3"/>
        <charset val="134"/>
        <scheme val="minor"/>
      </rPr>
      <t>.5+</t>
    </r>
    <phoneticPr fontId="143" type="noConversion"/>
  </si>
  <si>
    <t>环宇广场</t>
    <phoneticPr fontId="143" type="noConversion"/>
  </si>
  <si>
    <r>
      <t>一层2</t>
    </r>
    <r>
      <rPr>
        <sz val="11"/>
        <color theme="1"/>
        <rFont val="宋体"/>
        <family val="3"/>
        <charset val="134"/>
        <scheme val="minor"/>
      </rPr>
      <t>7000</t>
    </r>
    <phoneticPr fontId="143" type="noConversion"/>
  </si>
  <si>
    <t>租金3元左右</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</si>
</sst>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9" fontId="50" fillId="0" borderId="24" xfId="0" applyNumberFormat="1" applyFont="1" applyBorder="1" applyProtection="1">
      <alignment vertical="center"/>
      <protection locked="0"/>
    </xf>
    <xf numFmtId="0" fontId="0" fillId="9" borderId="0" xfId="0" applyFill="1">
      <alignment vertical="center"/>
    </xf>
    <xf numFmtId="0" fontId="0" fillId="0" borderId="0" xfId="0" applyFill="1">
      <alignment vertical="center"/>
    </xf>
    <xf numFmtId="181" fontId="47" fillId="0" borderId="24" xfId="0" applyNumberFormat="1" applyFont="1" applyFill="1" applyBorder="1" applyAlignment="1" applyProtection="1">
      <alignment vertical="center"/>
      <protection locked="0"/>
    </xf>
    <xf numFmtId="0" fontId="50" fillId="5" borderId="1" xfId="0" applyFont="1" applyFill="1" applyBorder="1" applyAlignment="1" applyProtection="1">
      <alignment horizontal="left" vertical="center" wrapText="1"/>
      <protection locked="0"/>
    </xf>
    <xf numFmtId="0" fontId="98" fillId="2" borderId="5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9" sqref="D3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新疆省昌吉市延安南路46号小区房地产市场价值预评估</v>
      </c>
    </row>
    <row r="3" spans="1:2" s="1596" customFormat="1">
      <c r="A3" s="1594" t="s">
        <v>1221</v>
      </c>
      <c r="B3" s="1595" t="str">
        <f>'预评函-封皮'!B40</f>
        <v>新华人寿保险股份有限公司新疆分公司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康正预评字2018-1-0276-P01HDZC2号</v>
      </c>
    </row>
    <row r="6" spans="1:2" s="1593" customFormat="1" ht="15" thickTop="1">
      <c r="A6" s="1591" t="s">
        <v>1224</v>
      </c>
      <c r="B6" s="1592" t="str">
        <f>'预评函-1'!A4</f>
        <v>受贵公司委托，我公司对新疆省昌吉市延安南路46号小区房地产市场价值进行了预评估。</v>
      </c>
    </row>
    <row r="7" spans="1:2" s="1596" customFormat="1">
      <c r="A7" s="1594" t="s">
        <v>1264</v>
      </c>
      <c r="B7" s="1595" t="str">
        <f>'预评函-1'!A7</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2018年4月24日（评估专业人员实地查勘之日）</v>
      </c>
    </row>
    <row r="13" spans="1:2" s="1596" customFormat="1">
      <c r="A13" s="1594" t="s">
        <v>1227</v>
      </c>
      <c r="B13" s="1595" t="str">
        <f>'预评函-1'!A18</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789</v>
      </c>
    </row>
    <row r="21" spans="1:2" s="1596" customFormat="1">
      <c r="A21" s="1594" t="s">
        <v>1235</v>
      </c>
      <c r="B21" s="1595">
        <f ca="1">'预评函-2'!D7</f>
        <v>22551</v>
      </c>
    </row>
    <row r="22" spans="1:2" s="1596" customFormat="1">
      <c r="A22" s="1594" t="s">
        <v>1236</v>
      </c>
      <c r="B22" s="1595" t="str">
        <f ca="1">'预评函-2'!D6</f>
        <v>柒佰捌拾玖万元整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789</v>
      </c>
    </row>
    <row r="31" spans="1:2" s="1596" customFormat="1">
      <c r="A31" s="1594" t="s">
        <v>1274</v>
      </c>
      <c r="B31" s="1595">
        <f ca="1">'预评函-2'!D15</f>
        <v>2983</v>
      </c>
    </row>
    <row r="32" spans="1:2" s="1596" customFormat="1">
      <c r="A32" s="1594" t="s">
        <v>1241</v>
      </c>
      <c r="B32" s="1595" t="str">
        <f ca="1">'预评函-2'!D14</f>
        <v>柒佰捌拾玖万元整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新疆省昌吉市延安南路46号小区房地产</v>
      </c>
    </row>
    <row r="42" spans="1:2" s="1596" customFormat="1">
      <c r="A42" s="1594" t="s">
        <v>1288</v>
      </c>
      <c r="B42" s="1595" t="str">
        <f>'预评函-3'!B2</f>
        <v>建筑面积</v>
      </c>
    </row>
    <row r="43" spans="1:2" s="1596" customFormat="1">
      <c r="A43" s="1594" t="s">
        <v>1289</v>
      </c>
      <c r="B43" s="1595">
        <f>'预评函-3'!B4</f>
        <v>2644.5600000000004</v>
      </c>
    </row>
    <row r="44" spans="1:2" s="1596" customFormat="1">
      <c r="A44" s="1594" t="s">
        <v>1273</v>
      </c>
      <c r="B44" s="1595" t="str">
        <f>'预评函-3'!C2</f>
        <v>(分摊)土地面积</v>
      </c>
    </row>
    <row r="45" spans="1:2" s="1596" customFormat="1">
      <c r="A45" s="1594" t="s">
        <v>1245</v>
      </c>
      <c r="B45" s="1595">
        <f>'预评函-3'!C4</f>
        <v>676.55</v>
      </c>
    </row>
    <row r="46" spans="1:2" s="1596" customFormat="1">
      <c r="A46" s="1594" t="s">
        <v>1271</v>
      </c>
      <c r="B46" s="1595" t="str">
        <f>'预评函-3'!D2</f>
        <v>出让国有建设用地使用权价值</v>
      </c>
    </row>
    <row r="47" spans="1:2" s="1596" customFormat="1">
      <c r="A47" s="1594" t="s">
        <v>1246</v>
      </c>
      <c r="B47" s="1595">
        <f ca="1">'预评函-3'!D4</f>
        <v>443</v>
      </c>
    </row>
    <row r="48" spans="1:2" s="1596" customFormat="1">
      <c r="A48" s="1594" t="s">
        <v>1247</v>
      </c>
      <c r="B48" s="1595">
        <f ca="1">'预评函-3'!E4</f>
        <v>12662</v>
      </c>
    </row>
    <row r="49" spans="1:2" s="1596" customFormat="1">
      <c r="A49" s="1594" t="s">
        <v>1248</v>
      </c>
      <c r="B49" s="1595" t="str">
        <f ca="1">'预评函-3'!D5</f>
        <v>肆佰肆拾叁万元整</v>
      </c>
    </row>
    <row r="50" spans="1:2" s="1596" customFormat="1">
      <c r="A50" s="1594" t="s">
        <v>1272</v>
      </c>
      <c r="B50" s="1595" t="str">
        <f>'预评函-3'!F2</f>
        <v>在建建筑物价值</v>
      </c>
    </row>
    <row r="51" spans="1:2" s="1596" customFormat="1">
      <c r="A51" s="1594" t="s">
        <v>1249</v>
      </c>
      <c r="B51" s="1595">
        <f ca="1">'预评函-3'!F4</f>
        <v>346</v>
      </c>
    </row>
    <row r="52" spans="1:2" s="1596" customFormat="1">
      <c r="A52" s="1594" t="s">
        <v>1250</v>
      </c>
      <c r="B52" s="1595">
        <f ca="1">'预评函-3'!G4</f>
        <v>9889</v>
      </c>
    </row>
    <row r="53" spans="1:2" s="1596" customFormat="1">
      <c r="A53" s="1594" t="s">
        <v>1278</v>
      </c>
      <c r="B53" s="1595" t="str">
        <f ca="1">'预评函-3'!F5</f>
        <v>叁佰肆拾陆万元整</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省昌吉市延安南路46号小区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5" t="s">
        <v>864</v>
      </c>
      <c r="C54" s="2022" t="s">
        <v>1281</v>
      </c>
    </row>
    <row r="55" spans="1:4">
      <c r="A55" s="3045"/>
      <c r="B55" s="2025" t="s">
        <v>865</v>
      </c>
      <c r="C55" s="2022" t="s">
        <v>1282</v>
      </c>
    </row>
    <row r="56" spans="1:4">
      <c r="A56" s="3045"/>
      <c r="B56" s="2025" t="s">
        <v>866</v>
      </c>
      <c r="C56" s="2022" t="s">
        <v>1286</v>
      </c>
    </row>
    <row r="57" spans="1:4">
      <c r="A57" s="304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54" t="str">
        <f>IF(B10="北京市","北京市",C10)&amp;F10&amp;IF(结果表!G1="在建","出让国有建设用地使用权及在建建筑物",IF(结果表!G1="土地","出让国有建设用地使用权",))&amp;B9&amp;"预评估"</f>
        <v>新疆省昌吉市延安南路46号小区房地产市场价值预评估</v>
      </c>
      <c r="C1" s="3055"/>
      <c r="D1" s="3055"/>
      <c r="E1" s="3055"/>
      <c r="F1" s="3055"/>
      <c r="G1" s="3055"/>
      <c r="H1" s="3055"/>
      <c r="I1" s="305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新疆省昌吉市延安南路46号小区房地产市场价值</v>
      </c>
    </row>
    <row r="2" spans="1:19" ht="18" customHeight="1">
      <c r="A2" s="2029" t="s">
        <v>1777</v>
      </c>
      <c r="B2" s="1042" t="s">
        <v>3143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新疆省昌吉市延安南路46号小区房地产</v>
      </c>
    </row>
    <row r="3" spans="1:19" ht="18" customHeight="1">
      <c r="A3" s="2038" t="s">
        <v>1778</v>
      </c>
      <c r="B3" s="2039">
        <v>43214</v>
      </c>
      <c r="C3" s="2040" t="s">
        <v>1779</v>
      </c>
      <c r="D3" s="2039">
        <v>43214</v>
      </c>
      <c r="E3" s="2029"/>
      <c r="F3" s="2029"/>
      <c r="G3" s="2029"/>
      <c r="H3" s="2029"/>
      <c r="I3" s="2029"/>
      <c r="J3" s="2029"/>
      <c r="K3" s="2030"/>
      <c r="L3" s="2031"/>
      <c r="M3" s="2031"/>
      <c r="N3" s="2032"/>
      <c r="O3" s="2033"/>
      <c r="P3" s="2032"/>
      <c r="Q3" s="2032"/>
      <c r="R3" s="2032"/>
      <c r="S3" s="2034"/>
    </row>
    <row r="4" spans="1:19" ht="18" customHeight="1" thickBot="1">
      <c r="A4" s="2041" t="s">
        <v>1780</v>
      </c>
      <c r="B4" s="2042" t="s">
        <v>3043</v>
      </c>
      <c r="C4" s="1040">
        <f ca="1">SUMIF(注册房地产估价师,B4,估价师及机构信息!B3:B24)</f>
        <v>1120140022</v>
      </c>
      <c r="D4" s="2042" t="s">
        <v>3044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995" t="s">
        <v>3144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c r="C7" s="2052"/>
      <c r="D7" s="2053"/>
      <c r="E7" s="2037"/>
      <c r="F7" s="2045"/>
      <c r="G7" s="2045"/>
      <c r="H7" s="2045"/>
      <c r="I7" s="2045"/>
      <c r="J7" s="2045"/>
      <c r="K7" s="2056"/>
      <c r="L7" s="2031"/>
      <c r="M7" s="2031"/>
      <c r="N7" s="2032"/>
      <c r="O7" s="2033"/>
      <c r="P7" s="2032"/>
      <c r="Q7" s="2032"/>
      <c r="R7" s="2032"/>
    </row>
    <row r="8" spans="1:19" ht="18" customHeight="1">
      <c r="A8" s="2050" t="s">
        <v>1784</v>
      </c>
      <c r="B8" s="2057" t="s">
        <v>3045</v>
      </c>
      <c r="C8" s="2058"/>
      <c r="D8" s="3057" t="s">
        <v>1785</v>
      </c>
      <c r="E8" s="2059"/>
      <c r="F8" s="2060"/>
      <c r="G8" s="2029"/>
      <c r="H8" s="2029"/>
      <c r="I8" s="2029"/>
      <c r="J8" s="2045"/>
      <c r="K8" s="2046"/>
      <c r="L8" s="2031"/>
      <c r="M8" s="2031"/>
      <c r="N8" s="2032"/>
      <c r="O8" s="2033"/>
      <c r="P8" s="2032"/>
      <c r="Q8" s="2032"/>
      <c r="R8" s="2032"/>
    </row>
    <row r="9" spans="1:19" ht="18" customHeight="1" thickBot="1">
      <c r="A9" s="2043" t="s">
        <v>1786</v>
      </c>
      <c r="B9" s="2061" t="s">
        <v>3046</v>
      </c>
      <c r="C9" s="2062"/>
      <c r="D9" s="3058"/>
      <c r="E9" s="2061"/>
      <c r="F9" s="2063"/>
      <c r="G9" s="2064"/>
      <c r="H9" s="2064"/>
      <c r="I9" s="2064"/>
      <c r="J9" s="2045"/>
      <c r="K9" s="2056"/>
      <c r="L9" s="2031"/>
      <c r="M9" s="2031"/>
      <c r="N9" s="2032"/>
      <c r="O9" s="2033"/>
      <c r="P9" s="2032"/>
      <c r="Q9" s="2032"/>
      <c r="R9" s="2032"/>
    </row>
    <row r="10" spans="1:19" ht="18" customHeight="1" thickTop="1">
      <c r="A10" s="2065" t="s">
        <v>1787</v>
      </c>
      <c r="B10" s="2066" t="s">
        <v>3047</v>
      </c>
      <c r="C10" s="2964" t="s">
        <v>3048</v>
      </c>
      <c r="D10" s="2049"/>
      <c r="E10" s="2067" t="s">
        <v>1788</v>
      </c>
      <c r="F10" s="2068" t="s">
        <v>3049</v>
      </c>
      <c r="G10" s="2069"/>
      <c r="H10" s="2070"/>
      <c r="I10" s="2049"/>
      <c r="J10" s="2045"/>
      <c r="K10" s="2056"/>
      <c r="L10" s="2031"/>
      <c r="M10" s="2031"/>
      <c r="N10" s="2032"/>
      <c r="O10" s="2033"/>
      <c r="P10" s="2032"/>
      <c r="Q10" s="2032"/>
      <c r="R10" s="2032"/>
    </row>
    <row r="11" spans="1:19" ht="18" customHeight="1">
      <c r="A11" s="2071" t="s">
        <v>1789</v>
      </c>
      <c r="B11" s="2072" t="s">
        <v>3050</v>
      </c>
      <c r="C11" s="2965" t="s">
        <v>3051</v>
      </c>
      <c r="D11" s="2073"/>
      <c r="E11" s="2045"/>
      <c r="F11" s="2045"/>
      <c r="G11" s="2045"/>
      <c r="H11" s="2045"/>
      <c r="I11" s="2045"/>
      <c r="J11" s="2045"/>
      <c r="K11" s="2056"/>
      <c r="L11" s="2031"/>
      <c r="M11" s="2031"/>
      <c r="N11" s="2032"/>
      <c r="O11" s="2033"/>
      <c r="P11" s="2032"/>
      <c r="Q11" s="2032"/>
      <c r="R11" s="2032"/>
    </row>
    <row r="12" spans="1:19" ht="18" customHeight="1">
      <c r="A12" s="2074" t="s">
        <v>1790</v>
      </c>
      <c r="B12" s="2072" t="s">
        <v>3052</v>
      </c>
      <c r="C12" s="2075" t="s">
        <v>1791</v>
      </c>
      <c r="D12" s="2076" t="s">
        <v>1792</v>
      </c>
      <c r="E12" s="2076" t="s">
        <v>1793</v>
      </c>
      <c r="F12" s="2076" t="s">
        <v>1794</v>
      </c>
      <c r="G12" s="2076" t="s">
        <v>1795</v>
      </c>
      <c r="H12" s="2076" t="s">
        <v>1796</v>
      </c>
      <c r="I12" s="2076" t="s">
        <v>1797</v>
      </c>
      <c r="J12" s="2045"/>
      <c r="K12" s="2056"/>
      <c r="L12" s="2031"/>
      <c r="M12" s="2031"/>
      <c r="N12" s="2032"/>
      <c r="O12" s="2033"/>
      <c r="P12" s="2032"/>
      <c r="Q12" s="2032"/>
      <c r="R12" s="2032"/>
    </row>
    <row r="13" spans="1:19" ht="18" customHeight="1">
      <c r="A13" s="2077"/>
      <c r="B13" s="2078"/>
      <c r="C13" s="2079" t="s">
        <v>1798</v>
      </c>
      <c r="D13" s="2080"/>
      <c r="E13" s="2080">
        <v>55352</v>
      </c>
      <c r="F13" s="2080"/>
      <c r="G13" s="2080"/>
      <c r="H13" s="2080"/>
      <c r="I13" s="1050"/>
      <c r="J13" s="2045"/>
      <c r="K13" s="2056"/>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5"/>
      <c r="B15" s="2082"/>
      <c r="C15" s="2079" t="s">
        <v>1800</v>
      </c>
      <c r="D15" s="1052" t="str">
        <f>IF(B12="出让",IF(D13="","",ROUNDDOWN(MIN((D13-$D$3)/365,D14),2)),D14)</f>
        <v/>
      </c>
      <c r="E15" s="1052">
        <f>IF(B12="出让",IF(E13="","",ROUNDDOWN(MIN((E13-$D$3)/365,E14),2)),E14)</f>
        <v>33.25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1801</v>
      </c>
      <c r="B16" s="3064"/>
      <c r="C16" s="3065"/>
      <c r="D16" s="3066"/>
      <c r="E16" s="2086" t="s">
        <v>1802</v>
      </c>
      <c r="F16" s="3067"/>
      <c r="G16" s="3068"/>
      <c r="H16" s="3068"/>
      <c r="I16" s="3069"/>
      <c r="J16" s="2032"/>
      <c r="K16" s="2083"/>
      <c r="L16" s="2084"/>
      <c r="M16" s="2084"/>
      <c r="N16" s="2085"/>
      <c r="O16" s="2084"/>
      <c r="P16" s="2085"/>
      <c r="Q16" s="2032"/>
      <c r="R16" s="2032"/>
    </row>
    <row r="17" spans="1:22" ht="18" customHeight="1">
      <c r="A17" s="2087" t="s">
        <v>1803</v>
      </c>
      <c r="B17" s="2038" t="s">
        <v>1804</v>
      </c>
      <c r="C17" s="1057">
        <f>'数据-汇总表'!E3</f>
        <v>2644.5600000000004</v>
      </c>
      <c r="D17" s="2088" t="s">
        <v>1805</v>
      </c>
      <c r="E17" s="3070" t="s">
        <v>3145</v>
      </c>
      <c r="F17" s="3071"/>
      <c r="G17" s="3071"/>
      <c r="H17" s="3071"/>
      <c r="I17" s="3072"/>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676.55</v>
      </c>
      <c r="D18" s="2091" t="s">
        <v>1805</v>
      </c>
      <c r="E18" s="3073" t="s">
        <v>3146</v>
      </c>
      <c r="F18" s="3074"/>
      <c r="G18" s="3074"/>
      <c r="H18" s="3074"/>
      <c r="I18" s="3075"/>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t="s">
        <v>3057</v>
      </c>
      <c r="D19" s="2093" t="s">
        <v>1810</v>
      </c>
      <c r="E19" s="2094" t="s">
        <v>3057</v>
      </c>
      <c r="F19" s="2095" t="str">
        <f>IF(AND(C19="是",E19="否"),"是否提供他项权证或相关说明","")</f>
        <v/>
      </c>
      <c r="G19" s="2096"/>
      <c r="H19" s="2045"/>
      <c r="I19" s="2045"/>
      <c r="J19" s="2045"/>
      <c r="K19" s="2056"/>
      <c r="L19" s="2031"/>
      <c r="M19" s="2031"/>
      <c r="N19" s="2085"/>
      <c r="O19" s="2084"/>
      <c r="P19" s="2085"/>
      <c r="Q19" s="2032"/>
      <c r="R19" s="2032"/>
      <c r="S19" s="2032"/>
      <c r="T19" s="2032"/>
      <c r="U19" s="2032"/>
      <c r="V19" s="2032"/>
    </row>
    <row r="20" spans="1:22" ht="18" customHeight="1">
      <c r="A20" s="2097" t="s">
        <v>1811</v>
      </c>
      <c r="B20" s="3060" t="s">
        <v>1812</v>
      </c>
      <c r="C20" s="3061"/>
      <c r="D20" s="3062" t="s">
        <v>1813</v>
      </c>
      <c r="E20" s="3063"/>
      <c r="F20" s="2098" t="s">
        <v>1814</v>
      </c>
      <c r="G20" s="2045"/>
      <c r="H20" s="2045"/>
      <c r="I20" s="2045"/>
      <c r="J20" s="2045"/>
      <c r="K20" s="3059" t="s">
        <v>1815</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70</v>
      </c>
      <c r="D21" s="2101" t="s">
        <v>1817</v>
      </c>
      <c r="E21" s="2102" t="s">
        <v>70</v>
      </c>
      <c r="F21" s="2103"/>
      <c r="G21" s="2045"/>
      <c r="H21" s="2045"/>
      <c r="I21" s="2045"/>
      <c r="J21" s="2045"/>
      <c r="K21" s="305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3147</v>
      </c>
      <c r="D22" s="2029"/>
      <c r="E22" s="2029"/>
      <c r="F22" s="2105"/>
      <c r="G22" s="2045"/>
      <c r="H22" s="2045"/>
      <c r="I22" s="2045"/>
      <c r="J22" s="2045"/>
      <c r="K22" s="305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47" t="s">
        <v>1825</v>
      </c>
      <c r="B27" s="2065"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7"/>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47"/>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48"/>
      <c r="B30" s="2038" t="s">
        <v>1829</v>
      </c>
      <c r="C30" s="3049"/>
      <c r="D30" s="305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51" t="s">
        <v>1830</v>
      </c>
      <c r="B31" s="2127"/>
      <c r="C31" s="2128" t="str">
        <f>IF(B31="现房","成新及维护状况正常否",IF(B31="在建","工程状态是否正常",IF(B31="土地","是否闲置","-")))</f>
        <v>-</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52"/>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52"/>
      <c r="B33" s="2131"/>
      <c r="C33" s="2071"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4" t="s">
        <v>3148</v>
      </c>
      <c r="C34" s="2134" t="s">
        <v>3149</v>
      </c>
      <c r="D34" s="2134" t="s">
        <v>3150</v>
      </c>
      <c r="E34" s="2134" t="s">
        <v>3151</v>
      </c>
      <c r="F34" s="2134" t="s">
        <v>3152</v>
      </c>
      <c r="G34" s="2134" t="s">
        <v>3153</v>
      </c>
      <c r="H34" s="2134"/>
      <c r="I34" s="2045"/>
      <c r="J34" s="2045"/>
      <c r="K34" s="1798">
        <f>COUNTIF(B34:H34,"——")</f>
        <v>0</v>
      </c>
      <c r="L34" s="2075" t="s">
        <v>1832</v>
      </c>
      <c r="M34" s="2075" t="s">
        <v>1833</v>
      </c>
      <c r="N34" s="2075" t="s">
        <v>1834</v>
      </c>
      <c r="O34" s="2075" t="s">
        <v>1835</v>
      </c>
      <c r="P34" s="2075" t="s">
        <v>1836</v>
      </c>
      <c r="Q34" s="2075" t="s">
        <v>1837</v>
      </c>
      <c r="R34" s="2075" t="s">
        <v>1838</v>
      </c>
      <c r="S34" s="3046" t="s">
        <v>1839</v>
      </c>
      <c r="T34" s="2135" t="str">
        <f>NUMBERSTRING(7-K34,1)&amp;"通"</f>
        <v>七通</v>
      </c>
      <c r="U34" s="2032"/>
      <c r="V34" s="2032"/>
    </row>
    <row r="35" spans="1:22" ht="18" customHeight="1">
      <c r="A35" s="2136"/>
      <c r="B35" s="3053" t="s">
        <v>1840</v>
      </c>
      <c r="C35" s="3053"/>
      <c r="D35" s="3053"/>
      <c r="E35" s="3053"/>
      <c r="F35" s="2137" t="str">
        <f>C10</f>
        <v>新疆省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6"/>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2"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7" width="9.5" style="2160" hidden="1" customWidth="1"/>
    <col min="38"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(I13+I14)/32574.21*8333.38</f>
        <v>676.55127822900397</v>
      </c>
      <c r="B3" s="14">
        <f>IF(C3="否",G5-AT5,G5)</f>
        <v>2644.5600000000004</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2644.5600000000004</v>
      </c>
      <c r="H5" s="16">
        <f t="shared" ref="H5:AT5" si="0">SUM(H13:H656)</f>
        <v>2644.5600000000004</v>
      </c>
      <c r="I5" s="16">
        <f t="shared" si="0"/>
        <v>2644.5600000000004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2644.5600000000004</v>
      </c>
      <c r="BA5" s="18">
        <f t="shared" si="1"/>
        <v>2644.5600000000004</v>
      </c>
      <c r="BB5" s="18">
        <f t="shared" si="1"/>
        <v>2644.5600000000004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676.55</v>
      </c>
      <c r="F6" s="16" t="s">
        <v>1</v>
      </c>
      <c r="G6" s="16" t="s">
        <v>2</v>
      </c>
      <c r="H6" s="20">
        <f>SUMIF(I$12:AB$12,"总值",I6:AB6)</f>
        <v>676.55</v>
      </c>
      <c r="I6" s="16">
        <f t="shared" ref="I6:AB6" si="2">ROUND($A$3*I5/$B$3,2)</f>
        <v>676.55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676.55</v>
      </c>
      <c r="AZ6" s="16" t="s">
        <v>3</v>
      </c>
      <c r="BA6" s="16">
        <f>ROUND($AY$6*BA5/$AZ$5,2)</f>
        <v>676.55</v>
      </c>
      <c r="BB6" s="16">
        <f>ROUND($AY$6*BB5/$AZ$5,2)</f>
        <v>676.55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3058</v>
      </c>
      <c r="J9" s="984"/>
      <c r="K9" s="2192" t="s">
        <v>3060</v>
      </c>
      <c r="L9" s="984"/>
      <c r="M9" s="2192" t="s">
        <v>3060</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t="s">
        <v>3061</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3059</v>
      </c>
      <c r="J11" s="2204"/>
      <c r="K11" s="2203" t="s">
        <v>3059</v>
      </c>
      <c r="L11" s="2204"/>
      <c r="M11" s="2203" t="s">
        <v>3055</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t="str">
        <f>K11</f>
        <v>独立商业</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3053</v>
      </c>
      <c r="D13" s="2214" t="s">
        <v>3056</v>
      </c>
      <c r="E13" s="16">
        <f>IF($C$3="是",ROUND($A$3*G13/$B$3,2),ROUND($A$3*(G13-AT13)/$B$3,2))</f>
        <v>89.51</v>
      </c>
      <c r="F13" s="32"/>
      <c r="G13" s="33">
        <f>H13+AC13+AT13</f>
        <v>349.87</v>
      </c>
      <c r="H13" s="20">
        <f>SUMIF(I$12:AB$12,"总值",I13:AB13)</f>
        <v>349.87</v>
      </c>
      <c r="I13" s="2215">
        <f>SUM(Sheet3!D1:D4)</f>
        <v>349.87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89.51</v>
      </c>
      <c r="AZ13" s="16">
        <f>BA13+BL13</f>
        <v>349.87</v>
      </c>
      <c r="BA13" s="16">
        <f>SUM(BB13:BK13)</f>
        <v>349.87</v>
      </c>
      <c r="BB13" s="16">
        <f>IF($D13="是",I13-J13,0)</f>
        <v>349.87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t="s">
        <v>3054</v>
      </c>
      <c r="D14" s="2214" t="s">
        <v>3056</v>
      </c>
      <c r="E14" s="16">
        <f>IF($C$3="是",ROUND($A$3*G14/$B$3,2),ROUND($A$3*(G14-AT14)/$B$3,2))</f>
        <v>587.04</v>
      </c>
      <c r="F14" s="32"/>
      <c r="G14" s="33">
        <f>H14+AC14+AT14</f>
        <v>2294.6900000000005</v>
      </c>
      <c r="H14" s="20">
        <f>SUMIF(I$12:AB$12,"总值",I14:AB14)</f>
        <v>2294.6900000000005</v>
      </c>
      <c r="I14" s="2215">
        <f>Sheet3!D63</f>
        <v>2294.6900000000005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587.04</v>
      </c>
      <c r="AZ14" s="16">
        <f>BA14+BL14</f>
        <v>2294.6900000000005</v>
      </c>
      <c r="BA14" s="16">
        <f>SUM(BB14:BK14)</f>
        <v>2294.6900000000005</v>
      </c>
      <c r="BB14" s="16">
        <f>IF($D14="是",I14-J14,0)</f>
        <v>2294.6900000000005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66"/>
      <c r="D15" s="2214" t="s">
        <v>3057</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66"/>
      <c r="D16" s="2214" t="s">
        <v>3057</v>
      </c>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966"/>
      <c r="D17" s="2214" t="s">
        <v>3057</v>
      </c>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7"/>
      <c r="D18" s="2219" t="s">
        <v>3057</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87" t="s">
        <v>1936</v>
      </c>
      <c r="B2" s="3087"/>
      <c r="C2" s="3087"/>
      <c r="D2" s="970" t="s">
        <v>1912</v>
      </c>
      <c r="E2" s="2228" t="s">
        <v>1913</v>
      </c>
      <c r="F2" s="1395"/>
      <c r="G2" s="2229"/>
      <c r="H2" s="2230"/>
      <c r="I2" s="2231" t="s">
        <v>1937</v>
      </c>
      <c r="J2" s="1395"/>
      <c r="K2" s="1395"/>
      <c r="L2" s="1395"/>
      <c r="M2" s="1395"/>
      <c r="N2" s="1430"/>
      <c r="O2" s="1395"/>
      <c r="P2" s="1395"/>
    </row>
    <row r="3" spans="1:16" ht="15.75" thickBot="1">
      <c r="A3" s="3088" t="s">
        <v>1910</v>
      </c>
      <c r="B3" s="3088"/>
      <c r="C3" s="3088"/>
      <c r="D3" s="46">
        <f>'数据-基础表'!AY6</f>
        <v>676.55</v>
      </c>
      <c r="E3" s="46">
        <f>'数据-基础表'!AZ5</f>
        <v>2644.5600000000004</v>
      </c>
      <c r="F3" s="1395"/>
      <c r="G3" s="1402"/>
      <c r="H3" s="1250" t="s">
        <v>1911</v>
      </c>
      <c r="I3" s="55">
        <f>ROUND('数据-基础表'!B3/'数据-基础表'!A3,2)</f>
        <v>3.91</v>
      </c>
      <c r="J3" s="1395"/>
      <c r="K3" s="1395"/>
      <c r="L3" s="1395"/>
      <c r="M3" s="1395"/>
      <c r="N3" s="1430"/>
      <c r="O3" s="1395"/>
      <c r="P3" s="1395"/>
    </row>
    <row r="4" spans="1:16" ht="15">
      <c r="A4" s="3089"/>
      <c r="B4" s="3090"/>
      <c r="C4" s="3091"/>
      <c r="D4" s="2232" t="s">
        <v>1912</v>
      </c>
      <c r="E4" s="2233" t="s">
        <v>1913</v>
      </c>
      <c r="F4" s="1395"/>
      <c r="G4" s="2234" t="s">
        <v>1938</v>
      </c>
      <c r="H4" s="1250" t="s">
        <v>1918</v>
      </c>
      <c r="I4" s="55">
        <f>ROUND(SUMIF('数据-基础表'!I9:AS9,"地上",'数据-基础表'!I5:AS5)/'数据-基础表'!A3,2)</f>
        <v>3.91</v>
      </c>
      <c r="J4" s="1395"/>
      <c r="K4" s="1395"/>
      <c r="L4" s="1395"/>
      <c r="M4" s="1395"/>
      <c r="N4" s="1430"/>
      <c r="O4" s="1395"/>
      <c r="P4" s="1395"/>
    </row>
    <row r="5" spans="1:16">
      <c r="A5" s="47" t="s">
        <v>1914</v>
      </c>
      <c r="B5" s="3092" t="s">
        <v>1915</v>
      </c>
      <c r="C5" s="3092"/>
      <c r="D5" s="48">
        <f>ROUND($D$3*E5/$E$3,2)</f>
        <v>0</v>
      </c>
      <c r="E5" s="49">
        <f>SUMIF('数据-基础表'!$11:$11,"住宅",'数据-基础表'!$5:$5)</f>
        <v>0</v>
      </c>
      <c r="F5" s="1395"/>
      <c r="G5" s="1402"/>
      <c r="H5" s="1250" t="s">
        <v>1911</v>
      </c>
      <c r="I5" s="55">
        <f>ROUND(E31/D31,2)</f>
        <v>3.91</v>
      </c>
      <c r="J5" s="1395"/>
      <c r="K5" s="1395"/>
      <c r="L5" s="1395"/>
      <c r="M5" s="1395"/>
      <c r="N5" s="1395"/>
      <c r="O5" s="1395"/>
      <c r="P5" s="1395"/>
    </row>
    <row r="6" spans="1:16" ht="15" thickBot="1">
      <c r="A6" s="2235"/>
      <c r="B6" s="3092" t="s">
        <v>1916</v>
      </c>
      <c r="C6" s="3092"/>
      <c r="D6" s="48">
        <f>ROUND($D$3*E6/$E$3,2)</f>
        <v>676.55</v>
      </c>
      <c r="E6" s="49">
        <f>E3-E5</f>
        <v>2644.5600000000004</v>
      </c>
      <c r="F6" s="1395"/>
      <c r="G6" s="2236" t="s">
        <v>1917</v>
      </c>
      <c r="H6" s="1402" t="s">
        <v>1918</v>
      </c>
      <c r="I6" s="942">
        <f>ROUND(F31/D31,2)</f>
        <v>3.91</v>
      </c>
      <c r="J6" s="1395"/>
      <c r="K6" s="1395"/>
      <c r="L6" s="1395"/>
      <c r="M6" s="1395"/>
      <c r="N6" s="1395"/>
      <c r="O6" s="1395"/>
      <c r="P6" s="1395"/>
    </row>
    <row r="7" spans="1:16" ht="15">
      <c r="A7" s="3084"/>
      <c r="B7" s="3085"/>
      <c r="C7" s="3086"/>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676.55</v>
      </c>
      <c r="E8" s="51">
        <f>SUMIF('数据-基础表'!BB10:BK10,"地上",'数据-基础表'!BB5:BK5)</f>
        <v>2644.5600000000004</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1928</v>
      </c>
      <c r="D16" s="50">
        <f>SUM(D8:D15)</f>
        <v>676.55</v>
      </c>
      <c r="E16" s="53">
        <f>SUM(E8:E15)</f>
        <v>2644.5600000000004</v>
      </c>
      <c r="F16" s="1395"/>
      <c r="G16" s="2238"/>
      <c r="H16" s="2241" t="s">
        <v>1940</v>
      </c>
      <c r="I16" s="2242"/>
      <c r="J16" s="1395"/>
      <c r="K16" s="3081" t="s">
        <v>1940</v>
      </c>
      <c r="L16" s="3082"/>
      <c r="M16" s="3082"/>
      <c r="N16" s="3082"/>
      <c r="O16" s="3082"/>
      <c r="P16" s="3083"/>
    </row>
    <row r="17" spans="1:19" ht="15">
      <c r="A17" s="2243" t="s">
        <v>1941</v>
      </c>
      <c r="B17" s="2244" t="s">
        <v>1942</v>
      </c>
      <c r="C17" s="2245" t="s">
        <v>1943</v>
      </c>
      <c r="D17" s="2246" t="s">
        <v>1931</v>
      </c>
      <c r="E17" s="2247" t="s">
        <v>1932</v>
      </c>
      <c r="F17" s="2248"/>
      <c r="G17" s="2249"/>
      <c r="H17" s="2250" t="s">
        <v>1944</v>
      </c>
      <c r="I17" s="2251" t="s">
        <v>1929</v>
      </c>
      <c r="J17" s="1395"/>
      <c r="K17" s="3078" t="s">
        <v>1945</v>
      </c>
      <c r="L17" s="3079"/>
      <c r="M17" s="3080"/>
      <c r="N17" s="3078" t="s">
        <v>1946</v>
      </c>
      <c r="O17" s="3079"/>
      <c r="P17" s="3080"/>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261" t="s">
        <v>3062</v>
      </c>
      <c r="D19" s="48">
        <f>ROUND($D$3*E19/$E$3,2)</f>
        <v>89.51</v>
      </c>
      <c r="E19" s="56">
        <f t="shared" ref="E19:E26" si="1">SUM(F19:G19)</f>
        <v>349.87</v>
      </c>
      <c r="F19" s="57">
        <f>'数据-基础表'!I13</f>
        <v>349.87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89.51</v>
      </c>
      <c r="S19" s="1251">
        <f t="shared" si="5"/>
        <v>349.87</v>
      </c>
    </row>
    <row r="20" spans="1:19">
      <c r="A20" s="2264"/>
      <c r="B20" s="50" t="s">
        <v>1958</v>
      </c>
      <c r="C20" s="2261" t="s">
        <v>3063</v>
      </c>
      <c r="D20" s="48">
        <f t="shared" ref="D20:D26" si="6">ROUND($D$3*E20/$E$3,2)</f>
        <v>587.04</v>
      </c>
      <c r="E20" s="56">
        <f t="shared" si="1"/>
        <v>2294.6900000000005</v>
      </c>
      <c r="F20" s="57">
        <f>'数据-基础表'!I14</f>
        <v>2294.6900000000005</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587.04</v>
      </c>
      <c r="S20" s="1251">
        <f t="shared" si="5"/>
        <v>2294.6900000000005</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676.55</v>
      </c>
      <c r="E27" s="1397">
        <f>IF(SUM(E19:E26)='数据-基础表'!BA5,SUM(E19:E26),IF(F27="地上面积有误","面积有误","地下面积有误"))</f>
        <v>2644.5600000000004</v>
      </c>
      <c r="F27" s="1396">
        <f>IF(SUM(F19:F26)=E8,SUM(F19:F26),"地上面积有误")</f>
        <v>2644.5600000000004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676.55</v>
      </c>
      <c r="S27" s="1250">
        <f>IF(SUM(S19:S26)=$E$3,SUM(S19:S26),SUM(S19:S26)&amp;"误差"&amp;ROUND(SUM(S19:S26)-E3,2))</f>
        <v>2644.5600000000004</v>
      </c>
    </row>
    <row r="28" spans="1:19">
      <c r="A28" s="2264"/>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1963</v>
      </c>
      <c r="D31" s="729">
        <f>D27+D30</f>
        <v>676.55</v>
      </c>
      <c r="E31" s="729">
        <f>E27+E30</f>
        <v>2644.5600000000004</v>
      </c>
      <c r="F31" s="730">
        <f>F27+F30</f>
        <v>2644.5600000000004</v>
      </c>
      <c r="G31" s="731">
        <f>G27+G30</f>
        <v>0</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D32" sqref="AD3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43214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3064</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1层</v>
      </c>
      <c r="B6" s="2308" t="str">
        <f>IF(A6=0,"","经营性")</f>
        <v>经营性</v>
      </c>
      <c r="C6" s="2309" t="s">
        <v>1377</v>
      </c>
      <c r="D6" s="1054">
        <f>SUMIF(项目基本情况!D$12:I$12,C6,项目基本情况!D$14:I$14)</f>
        <v>40</v>
      </c>
      <c r="E6" s="1051">
        <f>IF(B6="","",SUMIF(项目基本情况!D$12:I$12,C6,项目基本情况!D$13:I$13))</f>
        <v>55352</v>
      </c>
      <c r="F6" s="72">
        <f>SUMIF(项目基本情况!D$12:I$12,C6,项目基本情况!D$15:I$15)</f>
        <v>33.25</v>
      </c>
      <c r="G6" s="73">
        <f>IF(ISERROR(ROUND(POWER(1+H6,D6-F6)*(POWER(1+H6,F6)-1)/(POWER(1+H6,D6)-1),3)),0,ROUND(POWER(1+H6,D6-F6)*(POWER(1+H6,F6)-1)/(POWER(1+H6,D6)-1),3))</f>
        <v>0.93500000000000005</v>
      </c>
      <c r="H6" s="802">
        <v>0.05</v>
      </c>
      <c r="I6" s="802">
        <v>5.5E-2</v>
      </c>
      <c r="J6" s="74">
        <v>0.08</v>
      </c>
      <c r="K6" s="1254">
        <f>SUMIF('数据-汇总表'!C$19:C$33,A6,'数据-汇总表'!E$19:E$33)</f>
        <v>349.87</v>
      </c>
      <c r="L6" s="803">
        <v>2600</v>
      </c>
      <c r="M6" s="75">
        <f t="shared" ref="M6:M14" si="0">ROUND(K6*L6/10000,0)</f>
        <v>91</v>
      </c>
      <c r="N6" s="801">
        <v>1</v>
      </c>
      <c r="O6" s="75" t="str">
        <f>IF($N$5="成新度","——",ROUND(M6*N6,0))</f>
        <v>——</v>
      </c>
      <c r="P6" s="76" t="str">
        <f>IF($N$5="成新度","——",M6-O6)</f>
        <v>——</v>
      </c>
      <c r="Q6" s="804">
        <v>0.2</v>
      </c>
      <c r="R6" s="77">
        <f ca="1">SUMIF('数据-汇总表'!C$19:C$33,A6,'数据-汇总表'!R$19:R$27)</f>
        <v>89.51</v>
      </c>
      <c r="S6" s="54">
        <f>IF('数据-汇总表'!$I$17="按面积比例",SUMIF('数据-汇总表'!C$19:C$33,A6,'数据-汇总表'!K$19:K$33),SUMIF('数据-汇总表'!C$19:C$33,A6,'数据-汇总表'!N$19:N$33))</f>
        <v>0</v>
      </c>
      <c r="T6" s="1446">
        <f>ROUND($L$14*S6/10000,0)</f>
        <v>0</v>
      </c>
      <c r="U6" s="78">
        <v>3</v>
      </c>
      <c r="V6" s="79">
        <v>0.02</v>
      </c>
      <c r="W6" s="79">
        <v>0.1</v>
      </c>
      <c r="X6" s="1264"/>
      <c r="Y6" s="2999">
        <f>N6</f>
        <v>1</v>
      </c>
      <c r="Z6" s="81"/>
      <c r="AA6" s="74"/>
      <c r="AB6" s="74"/>
      <c r="AC6" s="1264"/>
      <c r="AD6" s="82"/>
      <c r="AE6" s="1265">
        <f ca="1">IF(AN6="",0,SUMIF(INDIRECT("'"&amp;AN6&amp;"'"&amp;"!E:E"),$AE$5,INDIRECT("'"&amp;AN6&amp;"'"&amp;"!F:F")))</f>
        <v>33.25</v>
      </c>
      <c r="AF6" s="1807"/>
      <c r="AG6" s="147">
        <f>IF(AF6="",0,AE6-AF6)</f>
        <v>0</v>
      </c>
      <c r="AH6" s="83"/>
      <c r="AI6" s="85">
        <v>365</v>
      </c>
      <c r="AJ6" s="86"/>
      <c r="AK6" s="87">
        <v>1.4999999999999999E-2</v>
      </c>
      <c r="AL6" s="88">
        <v>1.5E-3</v>
      </c>
      <c r="AM6" s="89">
        <v>0.02</v>
      </c>
      <c r="AN6" s="2310" t="s">
        <v>3065</v>
      </c>
      <c r="AO6" s="55">
        <f ca="1">SUMIF(INDIRECT("'"&amp;AN6&amp;"'"&amp;"!A:A"),"总价",INDIRECT("'"&amp;AN6&amp;"'"&amp;"!B:B"))</f>
        <v>494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2层</v>
      </c>
      <c r="B7" s="2308" t="str">
        <f t="shared" ref="B7:B13" si="1">IF(A7=0,"","经营性")</f>
        <v>经营性</v>
      </c>
      <c r="C7" s="2309" t="s">
        <v>1377</v>
      </c>
      <c r="D7" s="1054">
        <f>SUMIF(项目基本情况!D$12:I$12,C7,项目基本情况!D$14:I$14)</f>
        <v>40</v>
      </c>
      <c r="E7" s="1051">
        <f>IF(B7="","",SUMIF(项目基本情况!D$12:I$12,C7,项目基本情况!D$13:I$13))</f>
        <v>55352</v>
      </c>
      <c r="F7" s="72">
        <f>SUMIF(项目基本情况!D$12:I$12,C7,项目基本情况!D$15:I$15)</f>
        <v>33.25</v>
      </c>
      <c r="G7" s="73">
        <f t="shared" ref="G7:G11" si="2">IF(ISERROR(ROUND(POWER(1+H7,D7-F7)*(POWER(1+H7,F7)-1)/(POWER(1+H7,D7)-1),3)),0,ROUND(POWER(1+H7,D7-F7)*(POWER(1+H7,F7)-1)/(POWER(1+H7,D7)-1),3))</f>
        <v>0.92800000000000005</v>
      </c>
      <c r="H7" s="802">
        <v>4.4999999999999998E-2</v>
      </c>
      <c r="I7" s="802">
        <v>0.05</v>
      </c>
      <c r="J7" s="74">
        <v>0.08</v>
      </c>
      <c r="K7" s="1254">
        <f>SUMIF('数据-汇总表'!C$19:C$33,A7,'数据-汇总表'!E$19:E$33)</f>
        <v>2294.6900000000005</v>
      </c>
      <c r="L7" s="803">
        <v>2600</v>
      </c>
      <c r="M7" s="75">
        <f t="shared" si="0"/>
        <v>597</v>
      </c>
      <c r="N7" s="801">
        <f>N6</f>
        <v>1</v>
      </c>
      <c r="O7" s="75" t="str">
        <f t="shared" ref="O7:O14" si="3">IF($N$5="成新度","——",ROUND(M7*N7,0))</f>
        <v>——</v>
      </c>
      <c r="P7" s="76" t="str">
        <f t="shared" ref="P7:P14" si="4">IF($N$5="成新度","——",M7-O7)</f>
        <v>——</v>
      </c>
      <c r="Q7" s="804">
        <v>0.2</v>
      </c>
      <c r="R7" s="77">
        <f ca="1">SUMIF('数据-汇总表'!C$19:C$33,A7,'数据-汇总表'!R$19:R$27)</f>
        <v>587.04</v>
      </c>
      <c r="S7" s="54">
        <f>IF('数据-汇总表'!$I$17="按面积比例",SUMIF('数据-汇总表'!C$19:C$33,A7,'数据-汇总表'!K$19:K$33),SUMIF('数据-汇总表'!C$19:C$33,A7,'数据-汇总表'!N$19:N$33))</f>
        <v>0</v>
      </c>
      <c r="T7" s="1446">
        <f t="shared" ref="T7:T13" si="5">ROUND($L$14*S7/10000,0)</f>
        <v>0</v>
      </c>
      <c r="U7" s="78">
        <v>1.5</v>
      </c>
      <c r="V7" s="79">
        <v>0.02</v>
      </c>
      <c r="W7" s="79">
        <v>0.1</v>
      </c>
      <c r="X7" s="1264"/>
      <c r="Y7" s="2999">
        <f>N6</f>
        <v>1</v>
      </c>
      <c r="Z7" s="81"/>
      <c r="AA7" s="74"/>
      <c r="AB7" s="74"/>
      <c r="AC7" s="1264"/>
      <c r="AD7" s="82"/>
      <c r="AE7" s="1265">
        <f t="shared" ref="AE7:AE13" ca="1" si="6">IF(AN7="",0,SUMIF(INDIRECT("'"&amp;AN7&amp;"'"&amp;"!E:E"),$AE$5,INDIRECT("'"&amp;AN7&amp;"'"&amp;"!F:F")))</f>
        <v>33.25</v>
      </c>
      <c r="AF7" s="1807"/>
      <c r="AG7" s="147">
        <f t="shared" ref="AG7:AG13" si="7">IF(AF7="",0,AE7-AF7)</f>
        <v>0</v>
      </c>
      <c r="AH7" s="83"/>
      <c r="AI7" s="85">
        <v>365</v>
      </c>
      <c r="AJ7" s="86"/>
      <c r="AK7" s="87">
        <v>1.4999999999999999E-2</v>
      </c>
      <c r="AL7" s="88">
        <v>1.5E-3</v>
      </c>
      <c r="AM7" s="89">
        <v>0.02</v>
      </c>
      <c r="AN7" s="2310" t="s">
        <v>3075</v>
      </c>
      <c r="AO7" s="55">
        <f t="shared" ref="AO7:AO13" ca="1" si="8">SUMIF(INDIRECT("'"&amp;AN7&amp;"'"&amp;"!A:A"),"总价",INDIRECT("'"&amp;AN7&amp;"'"&amp;"!B:B"))</f>
        <v>1586</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0.92900000000000005</v>
      </c>
      <c r="H16" s="99">
        <f>ROUND(SUMPRODUCT(H6:H13,K6:K13)/SUMPRODUCT((H6:H13&gt;0)*(K6:K13)),3)</f>
        <v>4.5999999999999999E-2</v>
      </c>
      <c r="I16" s="100"/>
      <c r="J16" s="100"/>
      <c r="K16" s="101">
        <f>SUM(K6:K15)</f>
        <v>2644.5600000000004</v>
      </c>
      <c r="L16" s="102">
        <f>ROUND(M16*10000/SUM(K6:K14),0)</f>
        <v>2602</v>
      </c>
      <c r="M16" s="102">
        <f>SUM(M6:M14)</f>
        <v>688</v>
      </c>
      <c r="N16" s="103">
        <f>ROUND(SUMPRODUCT(M6:M14,N6:N14)/M16,3)</f>
        <v>1</v>
      </c>
      <c r="O16" s="102">
        <f>SUM(O6:O14)</f>
        <v>0</v>
      </c>
      <c r="P16" s="102">
        <f>SUM(P6:P14)</f>
        <v>0</v>
      </c>
      <c r="Q16" s="104">
        <f>ROUND(SUMPRODUCT(Q6:Q13,K6:K13)/SUMPRODUCT((Q6:Q13&gt;0)*(K6:K13)),2)</f>
        <v>0.2</v>
      </c>
      <c r="R16" s="1258">
        <f ca="1">SUM(R6:R13)</f>
        <v>676.55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3">
        <v>1.5</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v>1.5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1.5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1.5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v>0</v>
      </c>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360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v>0</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360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360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0.03</v>
      </c>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0.02</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0.02</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4.7500000000000001E-2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11</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337" t="s">
        <v>269</v>
      </c>
      <c r="C53" s="1430" t="s">
        <v>2069</v>
      </c>
      <c r="D53" s="2338"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2071</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2072</v>
      </c>
      <c r="B55" s="84">
        <v>11</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2073</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2074</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2075</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2076</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93" t="s">
        <v>2081</v>
      </c>
      <c r="B1" s="3094"/>
      <c r="C1" s="3094"/>
      <c r="D1" s="3094"/>
      <c r="E1" s="3094"/>
      <c r="F1" s="3094"/>
      <c r="G1" s="309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371" t="s">
        <v>2086</v>
      </c>
      <c r="D3" s="2372"/>
      <c r="E3" s="431" t="s">
        <v>2084</v>
      </c>
      <c r="F3" s="2373" t="s">
        <v>2087</v>
      </c>
      <c r="G3" s="2374" t="s">
        <v>2088</v>
      </c>
      <c r="H3" s="2369"/>
      <c r="I3" s="2369"/>
      <c r="J3" s="2369"/>
      <c r="K3" s="2369"/>
      <c r="L3" s="2369"/>
      <c r="M3" s="2369"/>
      <c r="N3" s="2369"/>
      <c r="O3" s="2369"/>
      <c r="P3" s="2369"/>
      <c r="Q3" s="2369"/>
      <c r="R3" s="2369"/>
    </row>
    <row r="4" spans="1:29" ht="40.5">
      <c r="A4" s="431"/>
      <c r="B4" s="1798" t="s">
        <v>2089</v>
      </c>
      <c r="C4" s="2981" t="s">
        <v>3102</v>
      </c>
      <c r="D4" s="2372"/>
      <c r="E4" s="2375"/>
      <c r="F4" s="42" t="s">
        <v>2090</v>
      </c>
      <c r="G4" s="2376" t="s">
        <v>2091</v>
      </c>
      <c r="H4" s="2369"/>
      <c r="I4" s="2369"/>
      <c r="J4" s="2369"/>
      <c r="K4" s="2369"/>
      <c r="L4" s="2369"/>
      <c r="M4" s="2369"/>
      <c r="N4" s="2369"/>
      <c r="O4" s="2369"/>
      <c r="P4" s="2369"/>
      <c r="Q4" s="2369"/>
      <c r="R4" s="2369"/>
    </row>
    <row r="5" spans="1:29" ht="40.5">
      <c r="A5" s="431"/>
      <c r="B5" s="1798" t="s">
        <v>2092</v>
      </c>
      <c r="C5" s="2981" t="s">
        <v>3103</v>
      </c>
      <c r="D5" s="2372"/>
      <c r="E5" s="2375"/>
      <c r="F5" s="1798" t="s">
        <v>2093</v>
      </c>
      <c r="G5" s="2376" t="s">
        <v>2094</v>
      </c>
      <c r="H5" s="2369"/>
      <c r="I5" s="2369"/>
      <c r="J5" s="2369"/>
      <c r="K5" s="2369"/>
      <c r="L5" s="2369"/>
      <c r="M5" s="2369"/>
      <c r="N5" s="2369"/>
      <c r="O5" s="2369"/>
      <c r="P5" s="2369"/>
      <c r="Q5" s="2369"/>
      <c r="R5" s="2369"/>
    </row>
    <row r="6" spans="1:29" ht="54">
      <c r="A6" s="431"/>
      <c r="B6" s="1798" t="s">
        <v>2095</v>
      </c>
      <c r="C6" s="2988" t="s">
        <v>3120</v>
      </c>
      <c r="D6" s="2372"/>
      <c r="E6" s="2375"/>
      <c r="F6" s="1798" t="s">
        <v>2096</v>
      </c>
      <c r="G6" s="2376" t="s">
        <v>2097</v>
      </c>
      <c r="H6" s="2369"/>
      <c r="I6" s="2369"/>
      <c r="J6" s="2369"/>
      <c r="K6" s="2369"/>
      <c r="L6" s="2369"/>
      <c r="M6" s="2369"/>
      <c r="N6" s="2369"/>
      <c r="O6" s="2369"/>
      <c r="P6" s="2369"/>
      <c r="Q6" s="2369"/>
      <c r="R6" s="2369"/>
    </row>
    <row r="7" spans="1:29" ht="41.25" thickBot="1">
      <c r="A7" s="431"/>
      <c r="B7" s="1798" t="s">
        <v>2093</v>
      </c>
      <c r="C7" s="2988" t="s">
        <v>3127</v>
      </c>
      <c r="D7" s="2377"/>
      <c r="E7" s="2378"/>
      <c r="F7" s="2379" t="s">
        <v>2098</v>
      </c>
      <c r="G7" s="2380" t="s">
        <v>2099</v>
      </c>
      <c r="H7" s="2369"/>
      <c r="I7" s="2369"/>
      <c r="J7" s="2369"/>
      <c r="K7" s="2369"/>
      <c r="L7" s="2369"/>
      <c r="M7" s="2369"/>
      <c r="N7" s="2369"/>
      <c r="O7" s="2369"/>
      <c r="P7" s="2369"/>
      <c r="Q7" s="2369"/>
      <c r="R7" s="2369"/>
    </row>
    <row r="8" spans="1:29" ht="27">
      <c r="A8" s="431"/>
      <c r="B8" s="1798" t="s">
        <v>2096</v>
      </c>
      <c r="C8" s="2988" t="s">
        <v>3128</v>
      </c>
      <c r="D8" s="2377"/>
      <c r="E8" s="2377"/>
      <c r="F8" s="1136"/>
      <c r="G8" s="1136"/>
      <c r="H8" s="2369"/>
      <c r="I8" s="2369"/>
      <c r="J8" s="2369"/>
      <c r="K8" s="2369"/>
      <c r="L8" s="2369"/>
      <c r="M8" s="2369"/>
      <c r="N8" s="2369"/>
      <c r="O8" s="2369"/>
      <c r="P8" s="2369"/>
      <c r="Q8" s="2369"/>
      <c r="R8" s="2369"/>
    </row>
    <row r="9" spans="1:29" ht="27">
      <c r="A9" s="431"/>
      <c r="B9" s="1798" t="s">
        <v>2100</v>
      </c>
      <c r="C9" s="2981" t="s">
        <v>3104</v>
      </c>
      <c r="D9" s="2372"/>
      <c r="E9" s="2377"/>
      <c r="F9" s="1136"/>
      <c r="G9" s="1136"/>
      <c r="H9" s="2369"/>
      <c r="I9" s="2369"/>
      <c r="J9" s="2369"/>
      <c r="K9" s="2369"/>
      <c r="L9" s="2369"/>
      <c r="M9" s="2369"/>
      <c r="N9" s="2369"/>
      <c r="O9" s="2369"/>
      <c r="P9" s="2369"/>
      <c r="Q9" s="2369"/>
      <c r="R9" s="2369"/>
    </row>
    <row r="10" spans="1:29" s="117" customFormat="1" ht="15.75" thickBot="1">
      <c r="A10" s="2381"/>
      <c r="B10" s="2382" t="s">
        <v>2101</v>
      </c>
      <c r="C10" s="2383"/>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2"/>
      <c r="D12" s="2388"/>
      <c r="E12" s="2372"/>
      <c r="F12" s="2377"/>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2102</v>
      </c>
      <c r="B13" s="2388"/>
      <c r="C13" s="2388"/>
      <c r="D13" s="2395"/>
      <c r="E13" s="2388"/>
      <c r="F13" s="2388"/>
      <c r="G13" s="2388"/>
    </row>
    <row r="14" spans="1:29" ht="15.75" thickBot="1">
      <c r="A14" s="2399"/>
      <c r="B14" s="2400"/>
      <c r="C14" s="2401" t="s">
        <v>2103</v>
      </c>
      <c r="D14" s="2372"/>
      <c r="E14" s="2402"/>
      <c r="F14" s="2402"/>
      <c r="G14" s="2366" t="s">
        <v>2104</v>
      </c>
    </row>
    <row r="15" spans="1:29" ht="57">
      <c r="A15" s="68" t="s">
        <v>2105</v>
      </c>
      <c r="B15" s="1270" t="s">
        <v>2085</v>
      </c>
      <c r="C15" s="2403" t="str">
        <f>C3</f>
        <v>估价对象周边居住用地比例、居住小区规模和社区发展完善程度，综合评价居住社区成熟度一般</v>
      </c>
      <c r="D15" s="2372"/>
      <c r="E15" s="2404" t="s">
        <v>2106</v>
      </c>
      <c r="F15" s="1270" t="s">
        <v>2107</v>
      </c>
      <c r="G15" s="135" t="str">
        <f>G3</f>
        <v>估价对象位于XX开发区，园区建设成熟度XX，产业集聚程度XX</v>
      </c>
    </row>
    <row r="16" spans="1:29" ht="42.75">
      <c r="A16" s="645"/>
      <c r="B16" s="2405" t="s">
        <v>2089</v>
      </c>
      <c r="C16" s="2406" t="str">
        <f>C4</f>
        <v>估价对象周边商业氛围一般，人流量较大，商业繁华度一般</v>
      </c>
      <c r="D16" s="2372"/>
      <c r="E16" s="2407"/>
      <c r="F16" s="2408" t="s">
        <v>2090</v>
      </c>
      <c r="G16" s="136" t="str">
        <f>G4</f>
        <v>估价对象周边道路状况、公共交通通达情况、停车便捷程度，综合评价交通便捷度较好</v>
      </c>
    </row>
    <row r="17" spans="1:18" ht="42.75">
      <c r="A17" s="645"/>
      <c r="B17" s="2405" t="s">
        <v>2092</v>
      </c>
      <c r="C17" s="2406" t="str">
        <f>C5</f>
        <v>估价对象周边办公楼项目数量一般，入驻率较高，办公集聚程度一般</v>
      </c>
      <c r="D17" s="2377"/>
      <c r="E17" s="2407"/>
      <c r="F17" s="2408" t="s">
        <v>2108</v>
      </c>
      <c r="G17" s="1572"/>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2109</v>
      </c>
      <c r="C19" s="1572"/>
      <c r="D19" s="2372"/>
      <c r="E19" s="2407"/>
      <c r="F19" s="1798" t="s">
        <v>2093</v>
      </c>
      <c r="G19" s="136" t="str">
        <f>G5</f>
        <v>估价对象所在区域公共配套设施齐备情况</v>
      </c>
    </row>
    <row r="20" spans="1:18" ht="28.5">
      <c r="A20" s="645"/>
      <c r="B20" s="2408" t="s">
        <v>2110</v>
      </c>
      <c r="C20" s="2406" t="str">
        <f>C9</f>
        <v>区域自然环境：；人文环境；综合评价环境状况较好</v>
      </c>
      <c r="D20" s="2377"/>
      <c r="E20" s="2407"/>
      <c r="F20" s="1798" t="s">
        <v>2111</v>
      </c>
      <c r="G20" s="136" t="str">
        <f>G6</f>
        <v>估价对象所在区域基础设施水平</v>
      </c>
    </row>
    <row r="21" spans="1:18" ht="28.5">
      <c r="A21" s="645"/>
      <c r="B21" s="1798" t="s">
        <v>2093</v>
      </c>
      <c r="C21" s="136" t="str">
        <f>C7</f>
        <v>估价对象所在区域公共配套设施较齐备</v>
      </c>
      <c r="D21" s="2372"/>
      <c r="E21" s="2407"/>
      <c r="F21" s="2408" t="s">
        <v>2112</v>
      </c>
      <c r="G21" s="2409"/>
    </row>
    <row r="22" spans="1:18" ht="13.5" customHeight="1">
      <c r="A22" s="645"/>
      <c r="B22" s="1798" t="s">
        <v>2096</v>
      </c>
      <c r="C22" s="136" t="str">
        <f>C8</f>
        <v>估价对象所在区域基础设施七通</v>
      </c>
      <c r="D22" s="2372"/>
      <c r="E22" s="2407"/>
      <c r="F22" s="2408" t="s">
        <v>2101</v>
      </c>
      <c r="G22" s="1572"/>
    </row>
    <row r="23" spans="1:18" s="2369"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69"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16" sqref="A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2644.5600000000004</v>
      </c>
      <c r="C1" s="1745"/>
      <c r="D1" s="1745"/>
      <c r="E1" s="1745"/>
      <c r="F1" s="1745"/>
      <c r="G1" s="1743"/>
    </row>
    <row r="2" spans="1:10" ht="16.5">
      <c r="A2" s="1746" t="s">
        <v>1353</v>
      </c>
      <c r="B2" s="1746">
        <f>SUM(C14:C23)</f>
        <v>676.55</v>
      </c>
      <c r="C2" s="1745"/>
      <c r="D2" s="1745"/>
      <c r="E2" s="1745"/>
      <c r="F2" s="1745"/>
      <c r="G2" s="1743"/>
    </row>
    <row r="3" spans="1:10" ht="16.5">
      <c r="A3" s="1746" t="s">
        <v>1362</v>
      </c>
      <c r="B3" s="1747">
        <f>项目基本情况!D3</f>
        <v>43214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2611</v>
      </c>
      <c r="C5" s="1746">
        <f ca="1">ROUND(B5*10000/$B$1,0)</f>
        <v>9873</v>
      </c>
      <c r="D5" s="1746">
        <f ca="1">ROUND(B5*10000/$B$2,0)</f>
        <v>38593</v>
      </c>
      <c r="E5" s="1745"/>
      <c r="F5" s="1743"/>
      <c r="G5" s="1743"/>
    </row>
    <row r="6" spans="1:10" ht="16.5">
      <c r="A6" s="1746" t="s">
        <v>1356</v>
      </c>
      <c r="B6" s="1746">
        <f ca="1">SUM(G14:G23)</f>
        <v>2611</v>
      </c>
      <c r="C6" s="1746">
        <f ca="1">ROUND(B6*10000/$B$1,0)</f>
        <v>9873</v>
      </c>
      <c r="D6" s="1746">
        <f ca="1">ROUND(B6*10000/$B$2,0)</f>
        <v>38593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349.87</v>
      </c>
      <c r="C14" s="1744">
        <f>结果表!C118</f>
        <v>89.51</v>
      </c>
      <c r="D14" s="1744">
        <f ca="1">结果表!H118</f>
        <v>789</v>
      </c>
      <c r="E14" s="1744">
        <f ca="1">ROUND(D14*10000/B14,0)</f>
        <v>22551</v>
      </c>
      <c r="F14" s="1744">
        <f ca="1">ROUND(D14*10000/C14,0)</f>
        <v>88147</v>
      </c>
      <c r="G14" s="1744">
        <f ca="1">结果表!D122</f>
        <v>789</v>
      </c>
      <c r="H14" s="1744" t="str">
        <f>结果表!D124</f>
        <v>——</v>
      </c>
      <c r="I14" s="1744" t="str">
        <f>结果表!D126</f>
        <v>——</v>
      </c>
      <c r="J14" s="1743"/>
    </row>
    <row r="15" spans="1:10" ht="16.5">
      <c r="A15" s="1742" t="s">
        <v>1349</v>
      </c>
      <c r="B15" s="1749">
        <f>'结果表-办公'!L18</f>
        <v>2294.6900000000005</v>
      </c>
      <c r="C15" s="1749">
        <f>'结果表-办公'!L19</f>
        <v>587.04</v>
      </c>
      <c r="D15" s="1749">
        <f ca="1">典型户型修正!S25</f>
        <v>1822</v>
      </c>
      <c r="E15" s="1744">
        <f t="shared" ref="E15:E23" ca="1" si="0">ROUND(D15*10000/B15,0)</f>
        <v>7940</v>
      </c>
      <c r="F15" s="1744">
        <f t="shared" ref="F15:F23" ca="1" si="1">ROUND(D15*10000/C15,0)</f>
        <v>31037</v>
      </c>
      <c r="G15" s="1750">
        <f ca="1">D15</f>
        <v>1822</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3066</v>
      </c>
      <c r="D1" s="2419"/>
      <c r="E1" s="2419"/>
      <c r="F1" s="2421" t="s">
        <v>2116</v>
      </c>
      <c r="G1" s="2072" t="s">
        <v>3073</v>
      </c>
      <c r="H1" s="2422" t="str">
        <f>IF(G1="现房","——","估价对象范围")</f>
        <v>——</v>
      </c>
      <c r="I1" s="2423"/>
    </row>
    <row r="2" spans="1:12" ht="21.75" customHeight="1" thickBot="1">
      <c r="A2" s="3128" t="str">
        <f>项目基本情况!S2</f>
        <v>新疆省昌吉市延安南路46号小区房地产</v>
      </c>
      <c r="B2" s="3129"/>
      <c r="C2" s="3129"/>
      <c r="D2" s="3129"/>
      <c r="E2" s="3129"/>
      <c r="F2" s="3129"/>
      <c r="G2" s="3129"/>
      <c r="H2" s="3129"/>
      <c r="I2" s="3130"/>
    </row>
    <row r="3" spans="1:12" ht="12.75">
      <c r="A3" s="3132" t="s">
        <v>2117</v>
      </c>
      <c r="B3" s="3133"/>
      <c r="C3" s="3133"/>
      <c r="D3" s="3133"/>
      <c r="E3" s="3133"/>
      <c r="F3" s="3133"/>
      <c r="G3" s="3133"/>
      <c r="H3" s="3133"/>
      <c r="I3" s="3133"/>
    </row>
    <row r="4" spans="1:12" ht="14.25">
      <c r="A4" s="2426" t="s">
        <v>2118</v>
      </c>
      <c r="B4" s="2427" t="s">
        <v>2119</v>
      </c>
      <c r="C4" s="2428" t="s">
        <v>3074</v>
      </c>
      <c r="D4" s="2428" t="s">
        <v>3065</v>
      </c>
      <c r="E4" s="3125" t="s">
        <v>2120</v>
      </c>
      <c r="F4" s="3126"/>
      <c r="G4" s="3126"/>
      <c r="H4" s="3126"/>
      <c r="I4" s="3134"/>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8" t="s">
        <v>2121</v>
      </c>
      <c r="B5" s="3046">
        <v>25</v>
      </c>
      <c r="C5" s="3111"/>
      <c r="D5" s="3131"/>
      <c r="E5" s="140" t="s">
        <v>2122</v>
      </c>
      <c r="F5" s="2430"/>
      <c r="G5" s="2430"/>
      <c r="H5" s="2430"/>
      <c r="I5" s="1834"/>
    </row>
    <row r="6" spans="1:12" ht="12.75">
      <c r="A6" s="3108"/>
      <c r="B6" s="3046"/>
      <c r="C6" s="3112"/>
      <c r="D6" s="3131"/>
      <c r="E6" s="140" t="s">
        <v>2123</v>
      </c>
      <c r="F6" s="2430"/>
      <c r="G6" s="2430"/>
      <c r="H6" s="2430"/>
      <c r="I6" s="1834"/>
    </row>
    <row r="7" spans="1:12" ht="12.75">
      <c r="A7" s="3108"/>
      <c r="B7" s="3046"/>
      <c r="C7" s="3113"/>
      <c r="D7" s="3131"/>
      <c r="E7" s="140" t="s">
        <v>2124</v>
      </c>
      <c r="F7" s="2430"/>
      <c r="G7" s="2430"/>
      <c r="H7" s="2430"/>
      <c r="I7" s="1834"/>
    </row>
    <row r="8" spans="1:12" ht="12.75">
      <c r="A8" s="3108" t="s">
        <v>2125</v>
      </c>
      <c r="B8" s="3046">
        <v>15</v>
      </c>
      <c r="C8" s="3111"/>
      <c r="D8" s="3131"/>
      <c r="E8" s="140" t="s">
        <v>2126</v>
      </c>
      <c r="F8" s="2430"/>
      <c r="G8" s="2430"/>
      <c r="H8" s="2430"/>
      <c r="I8" s="1834"/>
    </row>
    <row r="9" spans="1:12" ht="12.75">
      <c r="A9" s="3108"/>
      <c r="B9" s="3046"/>
      <c r="C9" s="3113"/>
      <c r="D9" s="3131"/>
      <c r="E9" s="140" t="s">
        <v>2127</v>
      </c>
      <c r="F9" s="2430"/>
      <c r="G9" s="2430"/>
      <c r="H9" s="2430"/>
      <c r="I9" s="1834"/>
    </row>
    <row r="10" spans="1:12" ht="12.75">
      <c r="A10" s="3108" t="s">
        <v>2128</v>
      </c>
      <c r="B10" s="3046">
        <v>15</v>
      </c>
      <c r="C10" s="3111"/>
      <c r="D10" s="3131"/>
      <c r="E10" s="140" t="s">
        <v>2129</v>
      </c>
      <c r="F10" s="2430"/>
      <c r="G10" s="2430"/>
      <c r="H10" s="2430"/>
      <c r="I10" s="1834"/>
    </row>
    <row r="11" spans="1:12" ht="12.75">
      <c r="A11" s="3108"/>
      <c r="B11" s="3046"/>
      <c r="C11" s="3113"/>
      <c r="D11" s="3131"/>
      <c r="E11" s="140" t="s">
        <v>2130</v>
      </c>
      <c r="F11" s="2430"/>
      <c r="G11" s="2430"/>
      <c r="H11" s="2430"/>
      <c r="I11" s="1834"/>
    </row>
    <row r="12" spans="1:12" ht="12.75">
      <c r="A12" s="3108" t="s">
        <v>2131</v>
      </c>
      <c r="B12" s="3046">
        <v>15</v>
      </c>
      <c r="C12" s="3111"/>
      <c r="D12" s="3131"/>
      <c r="E12" s="140" t="s">
        <v>2132</v>
      </c>
      <c r="F12" s="2430"/>
      <c r="G12" s="2430"/>
      <c r="H12" s="2430"/>
      <c r="I12" s="1834"/>
    </row>
    <row r="13" spans="1:12" ht="12.75">
      <c r="A13" s="3108"/>
      <c r="B13" s="3046"/>
      <c r="C13" s="3113"/>
      <c r="D13" s="3131"/>
      <c r="E13" s="140" t="s">
        <v>2133</v>
      </c>
      <c r="F13" s="2430"/>
      <c r="G13" s="2430"/>
      <c r="H13" s="2430"/>
      <c r="I13" s="1834"/>
    </row>
    <row r="14" spans="1:12" ht="12.75">
      <c r="A14" s="3108" t="s">
        <v>2134</v>
      </c>
      <c r="B14" s="3046">
        <v>30</v>
      </c>
      <c r="C14" s="3111">
        <v>7</v>
      </c>
      <c r="D14" s="3131">
        <v>3</v>
      </c>
      <c r="E14" s="140" t="s">
        <v>2135</v>
      </c>
      <c r="F14" s="2430"/>
      <c r="G14" s="2430"/>
      <c r="H14" s="2430"/>
      <c r="I14" s="1834"/>
    </row>
    <row r="15" spans="1:12" ht="12.75">
      <c r="A15" s="3108"/>
      <c r="B15" s="3046"/>
      <c r="C15" s="3112"/>
      <c r="D15" s="3131"/>
      <c r="E15" s="140" t="s">
        <v>2136</v>
      </c>
      <c r="F15" s="2430"/>
      <c r="G15" s="2430"/>
      <c r="H15" s="2430"/>
      <c r="I15" s="1834"/>
    </row>
    <row r="16" spans="1:12" ht="12.75">
      <c r="A16" s="3108"/>
      <c r="B16" s="3046"/>
      <c r="C16" s="3113"/>
      <c r="D16" s="3131"/>
      <c r="E16" s="140" t="s">
        <v>2137</v>
      </c>
      <c r="F16" s="2430"/>
      <c r="G16" s="2430"/>
      <c r="H16" s="2430"/>
      <c r="I16" s="1834"/>
    </row>
    <row r="17" spans="1:35" ht="15">
      <c r="A17" s="2431" t="s">
        <v>2138</v>
      </c>
      <c r="B17" s="64"/>
      <c r="C17" s="141">
        <f>SUM(C5:C16)</f>
        <v>7</v>
      </c>
      <c r="D17" s="141">
        <f>SUM(D5:D16)</f>
        <v>3</v>
      </c>
      <c r="E17" s="138"/>
      <c r="F17" s="138"/>
      <c r="G17" s="138"/>
      <c r="H17" s="138"/>
      <c r="I17" s="138"/>
      <c r="K17" s="2429"/>
      <c r="L17" s="2432" t="s">
        <v>2139</v>
      </c>
      <c r="M17" s="2432" t="s">
        <v>2140</v>
      </c>
    </row>
    <row r="18" spans="1:35" ht="15.75" thickBot="1">
      <c r="A18" s="2433" t="s">
        <v>2141</v>
      </c>
      <c r="B18" s="2434"/>
      <c r="C18" s="142">
        <f>ROUND(C17/SUM(C17:D17),2)</f>
        <v>0.7</v>
      </c>
      <c r="D18" s="142">
        <f>1-C18</f>
        <v>0.30000000000000004</v>
      </c>
      <c r="E18" s="138"/>
      <c r="F18" s="138"/>
      <c r="G18" s="138"/>
      <c r="H18" s="138"/>
      <c r="I18" s="138"/>
      <c r="K18" s="2429" t="s">
        <v>2142</v>
      </c>
      <c r="L18" s="2429">
        <f>IF(C1="",'数据-汇总表'!E3,SUMIF(项目类型,C1,'数据-汇总表'!E17:E26)+SUMIF(项目类型,C1,'数据-汇总表'!I17:I26))</f>
        <v>349.87</v>
      </c>
      <c r="M18" s="2429">
        <f>IF(C1="",'数据-汇总表'!E3,SUMIF(项目类型,C1,'数据-汇总表'!E17:E26))</f>
        <v>349.87</v>
      </c>
    </row>
    <row r="19" spans="1:35" ht="15">
      <c r="A19" s="2435" t="s">
        <v>2143</v>
      </c>
      <c r="B19" s="2436" t="s">
        <v>2144</v>
      </c>
      <c r="C19" s="143">
        <f ca="1">SUMIF(INDIRECT("'"&amp;C4&amp;"'"&amp;"!A:A"),结果表!B19,INDIRECT("'"&amp;C4&amp;"'"&amp;"!B:B"))</f>
        <v>916</v>
      </c>
      <c r="D19" s="144">
        <f ca="1">SUMIF(INDIRECT("'"&amp;D4&amp;"'"&amp;"!A:A"),结果表!B19,INDIRECT("'"&amp;D4&amp;"'"&amp;"!B:B"))</f>
        <v>494</v>
      </c>
      <c r="E19" s="2435" t="s">
        <v>2145</v>
      </c>
      <c r="F19" s="2436" t="s">
        <v>2144</v>
      </c>
      <c r="G19" s="145">
        <f ca="1">ROUND(C19*$C$18+D19*$D$18,0)</f>
        <v>789</v>
      </c>
      <c r="H19" s="2437" t="s">
        <v>2146</v>
      </c>
      <c r="I19" s="138"/>
      <c r="K19" s="2429" t="s">
        <v>2147</v>
      </c>
      <c r="L19" s="2429">
        <f>IF(C1="",'数据-汇总表'!D3,SUMIF(项目类型,C1,'数据-汇总表'!D17:D26)+SUMIF(项目类型,C1,'数据-汇总表'!H17:H27))</f>
        <v>89.51</v>
      </c>
      <c r="M19" s="2429">
        <f>IF(C1="",'数据-汇总表'!D3,SUMIF(项目类型,C1,'数据-汇总表'!D17:D26))</f>
        <v>89.51</v>
      </c>
    </row>
    <row r="20" spans="1:35" ht="15">
      <c r="A20" s="2438"/>
      <c r="B20" s="1250" t="s">
        <v>2148</v>
      </c>
      <c r="C20" s="146">
        <f ca="1">SUMIF(INDIRECT("'"&amp;C4&amp;"'"&amp;"!A:A"),结果表!B20,INDIRECT("'"&amp;C4&amp;"'"&amp;"!B:B"))</f>
        <v>26170</v>
      </c>
      <c r="D20" s="147">
        <f ca="1">SUMIF(INDIRECT("'"&amp;D4&amp;"'"&amp;"!A:A"),结果表!B20,INDIRECT("'"&amp;D4&amp;"'"&amp;"!B:B"))</f>
        <v>14131</v>
      </c>
      <c r="E20" s="2438"/>
      <c r="F20" s="1250" t="s">
        <v>2148</v>
      </c>
      <c r="G20" s="148">
        <f ca="1">ROUND(C20*$C$18+D20*$D$18,0)</f>
        <v>22558</v>
      </c>
      <c r="H20" s="983" t="s">
        <v>2149</v>
      </c>
      <c r="I20" s="138"/>
    </row>
    <row r="21" spans="1:35" ht="15" customHeight="1" thickBot="1">
      <c r="A21" s="1003"/>
      <c r="B21" s="2439" t="s">
        <v>2150</v>
      </c>
      <c r="C21" s="789">
        <f ca="1">ROUND(C19*10000/L19,0)</f>
        <v>102335</v>
      </c>
      <c r="D21" s="790">
        <f ca="1">ROUND(D19*10000/L19,0)</f>
        <v>55189</v>
      </c>
      <c r="E21" s="1003"/>
      <c r="F21" s="2439" t="s">
        <v>2150</v>
      </c>
      <c r="G21" s="149">
        <f ca="1">ROUND(G19*10000/L19,0)</f>
        <v>88147</v>
      </c>
      <c r="H21" s="2440" t="s">
        <v>2149</v>
      </c>
      <c r="I21" s="138"/>
    </row>
    <row r="22" spans="1:35" ht="15" thickBot="1">
      <c r="A22" s="2282" t="s">
        <v>2151</v>
      </c>
      <c r="B22" s="2441"/>
      <c r="C22" s="2442"/>
      <c r="D22" s="791">
        <f ca="1">IF(C19&lt;D19,D19/C19-1,C19/D19-1)</f>
        <v>0.85425101214574894</v>
      </c>
      <c r="E22" s="138"/>
      <c r="F22" s="138"/>
      <c r="G22" s="138"/>
      <c r="H22" s="138"/>
      <c r="I22" s="138"/>
    </row>
    <row r="23" spans="1:35" ht="13.5" thickBot="1">
      <c r="A23" s="2419"/>
      <c r="B23" s="2419"/>
      <c r="C23" s="2419"/>
      <c r="D23" s="2419"/>
      <c r="E23" s="138"/>
      <c r="F23" s="138"/>
      <c r="G23" s="138"/>
      <c r="H23" s="138"/>
      <c r="I23" s="138"/>
    </row>
    <row r="24" spans="1:35" ht="14.25">
      <c r="A24" s="3102" t="s">
        <v>2152</v>
      </c>
      <c r="B24" s="2436" t="s">
        <v>2144</v>
      </c>
      <c r="C24" s="145">
        <f>IF(B30=0,0,D30)</f>
        <v>0</v>
      </c>
      <c r="D24" s="2443"/>
      <c r="E24" s="138"/>
      <c r="F24" s="138"/>
      <c r="G24" s="138"/>
      <c r="H24" s="138"/>
      <c r="I24" s="138"/>
    </row>
    <row r="25" spans="1:35" ht="14.25">
      <c r="A25" s="3103"/>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789</v>
      </c>
      <c r="D32" s="2450" t="s">
        <v>3155</v>
      </c>
      <c r="E32" s="138"/>
      <c r="F32" s="138"/>
      <c r="G32" s="138"/>
      <c r="H32" s="138"/>
      <c r="I32" s="138"/>
    </row>
    <row r="33" spans="1:15" ht="15">
      <c r="A33" s="960" t="s">
        <v>2160</v>
      </c>
      <c r="B33" s="2451"/>
      <c r="C33" s="2452" t="s">
        <v>3154</v>
      </c>
      <c r="D33" s="2453" t="s">
        <v>3065</v>
      </c>
      <c r="E33" s="2454" t="s">
        <v>2161</v>
      </c>
      <c r="F33" s="2455" t="str">
        <f>IF(D32="楼面单价","取值（单价）","取值（总价）")</f>
        <v>取值（总价）</v>
      </c>
      <c r="G33" s="138"/>
      <c r="H33" s="138"/>
      <c r="I33" s="138"/>
    </row>
    <row r="34" spans="1:15" ht="15">
      <c r="A34" s="2456"/>
      <c r="B34" s="2457" t="s">
        <v>2162</v>
      </c>
      <c r="C34" s="157">
        <f ca="1">IF(C33="自定义",F34,C32-C35)</f>
        <v>443</v>
      </c>
      <c r="D34" s="1058">
        <f ca="1">IF(C33="自定义",ROUND(C34/C32,3),IF(C33="收益比率",SUMIF(INDIRECT("'"&amp;D33&amp;"'"&amp;"!b:b"),"土地收益比率",INDIRECT("'"&amp;D33&amp;"'"&amp;"!c:c")),SUMIF(INDIRECT("'"&amp;D33&amp;"'"&amp;"!b:b"),"土地成本比率",INDIRECT("'"&amp;D33&amp;"'"&amp;"!c:c"))))</f>
        <v>0.56200000000000006</v>
      </c>
      <c r="E34" s="2458" t="s">
        <v>2163</v>
      </c>
      <c r="F34" s="2996"/>
      <c r="G34" s="138"/>
      <c r="H34" s="138"/>
      <c r="I34" s="138"/>
    </row>
    <row r="35" spans="1:15" ht="15.75" thickBot="1">
      <c r="A35" s="2459"/>
      <c r="B35" s="2460" t="s">
        <v>2164</v>
      </c>
      <c r="C35" s="1444">
        <f ca="1">IF(C33="自定义",F35,ROUND(C32*D35,0))</f>
        <v>346</v>
      </c>
      <c r="D35" s="1445">
        <f ca="1">IF(C33="自定义",ROUND(C35/C32,3),IF(C33="收益比率",SUMIF(INDIRECT("'"&amp;D33&amp;"'"&amp;"!b:b"),"建筑物收益比率",INDIRECT("'"&amp;D33&amp;"'"&amp;"!c:c")),SUMIF(INDIRECT("'"&amp;D33&amp;"'"&amp;"!b:b"),"建筑物成本比率",INDIRECT("'"&amp;D33&amp;"'"&amp;"!c:c"))))</f>
        <v>0.438</v>
      </c>
      <c r="E35" s="2461" t="s">
        <v>2165</v>
      </c>
      <c r="F35" s="163"/>
      <c r="G35" s="138"/>
      <c r="H35" s="138"/>
      <c r="I35" s="138"/>
    </row>
    <row r="36" spans="1:15" ht="15.75" thickBot="1">
      <c r="A36" s="3120" t="s">
        <v>2166</v>
      </c>
      <c r="B36" s="2462" t="s">
        <v>2167</v>
      </c>
      <c r="C36" s="154"/>
      <c r="D36" s="2463"/>
      <c r="E36" s="2464"/>
      <c r="F36" s="2465"/>
      <c r="G36" s="138"/>
      <c r="H36" s="138"/>
      <c r="I36" s="138"/>
    </row>
    <row r="37" spans="1:15" ht="15.75" thickBot="1">
      <c r="A37" s="3121"/>
      <c r="B37" s="2268" t="s">
        <v>2168</v>
      </c>
      <c r="C37" s="156"/>
      <c r="D37" s="1395"/>
      <c r="E37" s="1395"/>
      <c r="F37" s="2465"/>
      <c r="G37" s="138"/>
      <c r="H37" s="138"/>
      <c r="I37" s="138"/>
    </row>
    <row r="38" spans="1:15" ht="15.75" thickBot="1">
      <c r="A38" s="3122"/>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99" t="s">
        <v>2180</v>
      </c>
      <c r="B45" s="3100"/>
      <c r="C45" s="3101"/>
      <c r="D45" s="164">
        <f ca="1">ROUND(H101*F45,0)</f>
        <v>789</v>
      </c>
      <c r="E45" s="165" t="s">
        <v>2181</v>
      </c>
      <c r="F45" s="166">
        <v>1</v>
      </c>
      <c r="G45" s="167" t="s">
        <v>2182</v>
      </c>
      <c r="H45" s="138"/>
      <c r="I45" s="138"/>
      <c r="J45" s="3159" t="s">
        <v>2183</v>
      </c>
      <c r="K45" s="3159"/>
      <c r="L45" s="3159"/>
      <c r="M45" s="3159"/>
      <c r="N45" s="3159"/>
      <c r="O45" s="3159"/>
    </row>
    <row r="46" spans="1:15" ht="14.25" customHeight="1">
      <c r="A46" s="3096" t="s">
        <v>2184</v>
      </c>
      <c r="B46" s="3097"/>
      <c r="C46" s="3097"/>
      <c r="D46" s="3097"/>
      <c r="E46" s="3097"/>
      <c r="F46" s="3097"/>
      <c r="G46" s="3098"/>
      <c r="H46" s="2481"/>
      <c r="I46" s="168"/>
      <c r="J46" s="1812">
        <v>1</v>
      </c>
      <c r="K46" s="3159" t="s">
        <v>2185</v>
      </c>
      <c r="L46" s="3159"/>
      <c r="M46" s="3179"/>
      <c r="N46" s="3179"/>
      <c r="O46" s="3179"/>
    </row>
    <row r="47" spans="1:15" ht="12" customHeight="1">
      <c r="A47" s="169" t="s">
        <v>2186</v>
      </c>
      <c r="B47" s="170"/>
      <c r="C47" s="171"/>
      <c r="D47" s="172" t="s">
        <v>2187</v>
      </c>
      <c r="E47" s="24" t="s">
        <v>2188</v>
      </c>
      <c r="F47" s="173" t="s">
        <v>2189</v>
      </c>
      <c r="G47" s="174" t="s">
        <v>2190</v>
      </c>
      <c r="H47" s="2481"/>
      <c r="I47" s="168"/>
      <c r="J47" s="1812">
        <v>2</v>
      </c>
      <c r="K47" s="3159" t="s">
        <v>2191</v>
      </c>
      <c r="L47" s="3159"/>
      <c r="M47" s="3180">
        <f>'数据-取费表'!B2</f>
        <v>43214</v>
      </c>
      <c r="N47" s="3180"/>
      <c r="O47" s="3180"/>
    </row>
    <row r="48" spans="1:15" ht="25.5">
      <c r="A48" s="3127" t="s">
        <v>2192</v>
      </c>
      <c r="B48" s="3110"/>
      <c r="C48" s="3110"/>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59" t="s">
        <v>2195</v>
      </c>
      <c r="L48" s="3159"/>
      <c r="M48" s="3181">
        <f ca="1">H101</f>
        <v>789</v>
      </c>
      <c r="N48" s="3181"/>
      <c r="O48" s="3181"/>
    </row>
    <row r="49" spans="1:35" ht="25.5" customHeight="1">
      <c r="A49" s="176" t="s">
        <v>2196</v>
      </c>
      <c r="B49" s="3095" t="s">
        <v>2197</v>
      </c>
      <c r="C49" s="3095"/>
      <c r="D49" s="177">
        <v>0</v>
      </c>
      <c r="E49" s="23" t="s">
        <v>2198</v>
      </c>
      <c r="F49" s="28" t="s">
        <v>34</v>
      </c>
      <c r="G49" s="3165"/>
      <c r="H49" s="138"/>
      <c r="I49" s="2484"/>
      <c r="J49" s="1812">
        <v>4</v>
      </c>
      <c r="K49" s="3159" t="str">
        <f>IF(项目基本情况!E8="房地产抵押价值","房地产抵押价值","抵押担保权已注销时的房地产抵押价值")</f>
        <v>抵押担保权已注销时的房地产抵押价值</v>
      </c>
      <c r="L49" s="3159"/>
      <c r="M49" s="3181" t="str">
        <f>IF(项目基本情况!E8="房地产抵押价值",H107,H109)</f>
        <v>——</v>
      </c>
      <c r="N49" s="3181"/>
      <c r="O49" s="3181"/>
    </row>
    <row r="50" spans="1:35" ht="25.5" customHeight="1">
      <c r="A50" s="178"/>
      <c r="B50" s="3095" t="s">
        <v>2199</v>
      </c>
      <c r="C50" s="3095"/>
      <c r="D50" s="179"/>
      <c r="E50" s="31"/>
      <c r="F50" s="180"/>
      <c r="G50" s="3166"/>
      <c r="H50" s="138"/>
      <c r="I50" s="2484"/>
      <c r="J50" s="3159" t="s">
        <v>2200</v>
      </c>
      <c r="K50" s="3159"/>
      <c r="L50" s="3159"/>
      <c r="M50" s="3159"/>
      <c r="N50" s="3159"/>
      <c r="O50" s="3159"/>
    </row>
    <row r="51" spans="1:35" ht="12" customHeight="1">
      <c r="A51" s="181"/>
      <c r="B51" s="3095" t="s">
        <v>2201</v>
      </c>
      <c r="C51" s="3095"/>
      <c r="D51" s="182"/>
      <c r="E51" s="30"/>
      <c r="F51" s="180"/>
      <c r="G51" s="3167"/>
      <c r="H51" s="138"/>
      <c r="I51" s="2484"/>
      <c r="J51" s="2485" t="s">
        <v>2202</v>
      </c>
      <c r="K51" s="3159" t="s">
        <v>2203</v>
      </c>
      <c r="L51" s="3159"/>
      <c r="M51" s="2485" t="s">
        <v>2204</v>
      </c>
      <c r="N51" s="2485" t="s">
        <v>2205</v>
      </c>
      <c r="O51" s="2485" t="s">
        <v>2206</v>
      </c>
    </row>
    <row r="52" spans="1:35" ht="24" customHeight="1">
      <c r="A52" s="183" t="s">
        <v>2207</v>
      </c>
      <c r="B52" s="3095" t="s">
        <v>2208</v>
      </c>
      <c r="C52" s="3095"/>
      <c r="D52" s="182">
        <f ca="1">ROUND(D45*'数据-取费表'!B41/(1+'数据-取费表'!C42),0)</f>
        <v>42</v>
      </c>
      <c r="E52" s="11" t="s">
        <v>2209</v>
      </c>
      <c r="F52" s="184">
        <f>'数据-取费表'!B41</f>
        <v>5.6000000000000001E-2</v>
      </c>
      <c r="G52" s="2486"/>
      <c r="H52" s="138"/>
      <c r="I52" s="2484"/>
      <c r="J52" s="1812">
        <v>1</v>
      </c>
      <c r="K52" s="3160" t="s">
        <v>2210</v>
      </c>
      <c r="L52" s="3160"/>
      <c r="M52" s="1754">
        <f>D48</f>
        <v>0</v>
      </c>
      <c r="N52" s="1812" t="str">
        <f>E48</f>
        <v>销售额×税（费）率</v>
      </c>
      <c r="O52" s="1755" t="str">
        <f>F48</f>
        <v>免征</v>
      </c>
    </row>
    <row r="53" spans="1:35" ht="12" customHeight="1">
      <c r="A53" s="183" t="s">
        <v>2211</v>
      </c>
      <c r="B53" s="3118" t="s">
        <v>2212</v>
      </c>
      <c r="C53" s="3119"/>
      <c r="D53" s="182">
        <f ca="1">ROUND(D45*'数据-取费表'!B41/(1+'数据-取费表'!C42),0)</f>
        <v>42</v>
      </c>
      <c r="E53" s="11" t="s">
        <v>2209</v>
      </c>
      <c r="F53" s="184">
        <f>'数据-取费表'!B41</f>
        <v>5.6000000000000001E-2</v>
      </c>
      <c r="G53" s="2486"/>
      <c r="H53" s="138"/>
      <c r="I53" s="2484"/>
      <c r="J53" s="1812">
        <v>2</v>
      </c>
      <c r="K53" s="3160" t="s">
        <v>2213</v>
      </c>
      <c r="L53" s="3160"/>
      <c r="M53" s="1754">
        <f t="shared" ref="M53:O54" ca="1" si="0">D55</f>
        <v>0</v>
      </c>
      <c r="N53" s="1812" t="str">
        <f t="shared" si="0"/>
        <v>销售额×税（费）率</v>
      </c>
      <c r="O53" s="1755">
        <f t="shared" si="0"/>
        <v>5.0000000000000001E-4</v>
      </c>
    </row>
    <row r="54" spans="1:35" ht="12" customHeight="1">
      <c r="A54" s="183" t="s">
        <v>2214</v>
      </c>
      <c r="B54" s="3118" t="s">
        <v>2215</v>
      </c>
      <c r="C54" s="3119"/>
      <c r="D54" s="182">
        <f ca="1">C68</f>
        <v>42</v>
      </c>
      <c r="E54" s="30" t="s">
        <v>2216</v>
      </c>
      <c r="F54" s="184">
        <f>'数据-取费表'!B41</f>
        <v>5.6000000000000001E-2</v>
      </c>
      <c r="G54" s="2486"/>
      <c r="H54" s="2487"/>
      <c r="I54" s="2484"/>
      <c r="J54" s="1812">
        <v>3</v>
      </c>
      <c r="K54" s="3160" t="s">
        <v>2217</v>
      </c>
      <c r="L54" s="3160"/>
      <c r="M54" s="1754">
        <f t="shared" ca="1" si="0"/>
        <v>446</v>
      </c>
      <c r="N54" s="1812" t="str">
        <f t="shared" si="0"/>
        <v>增值额×税（费）率</v>
      </c>
      <c r="O54" s="1756" t="str">
        <f t="shared" si="0"/>
        <v>——</v>
      </c>
    </row>
    <row r="55" spans="1:35" ht="24" customHeight="1">
      <c r="A55" s="3109" t="s">
        <v>2218</v>
      </c>
      <c r="B55" s="3110"/>
      <c r="C55" s="3110"/>
      <c r="D55" s="185">
        <f ca="1">IF(H55="个人住宅",0,ROUND(D45*I55,0))</f>
        <v>0</v>
      </c>
      <c r="E55" s="11" t="s">
        <v>2219</v>
      </c>
      <c r="F55" s="184">
        <f>IF(H55="正常",I55,"免征")</f>
        <v>5.0000000000000001E-4</v>
      </c>
      <c r="G55" s="2486"/>
      <c r="H55" s="2483" t="s">
        <v>2220</v>
      </c>
      <c r="I55" s="186">
        <f>'数据-取费表'!B49</f>
        <v>5.0000000000000001E-4</v>
      </c>
      <c r="J55" s="1812" t="str">
        <f>IF(H59="非个人房产","",4)</f>
        <v/>
      </c>
      <c r="K55" s="3160" t="str">
        <f>IF(H59="非个人房产","——","个人所得税")</f>
        <v>——</v>
      </c>
      <c r="L55" s="3160"/>
      <c r="M55" s="1757" t="str">
        <f>D59</f>
        <v>——</v>
      </c>
      <c r="N55" s="1810" t="str">
        <f>E59</f>
        <v>——</v>
      </c>
      <c r="O55" s="1758" t="str">
        <f>F59</f>
        <v>——</v>
      </c>
    </row>
    <row r="56" spans="1:35" ht="24.75">
      <c r="A56" s="3109" t="s">
        <v>2221</v>
      </c>
      <c r="B56" s="3110"/>
      <c r="C56" s="3110"/>
      <c r="D56" s="185">
        <f ca="1">IF(H56="个人住宅",D57,D58)</f>
        <v>446</v>
      </c>
      <c r="E56" s="11" t="s">
        <v>2222</v>
      </c>
      <c r="F56" s="184" t="str">
        <f>IF(H56="正常",F58,"免征")</f>
        <v>——</v>
      </c>
      <c r="G56" s="2488" t="s">
        <v>2223</v>
      </c>
      <c r="H56" s="2489" t="s">
        <v>2220</v>
      </c>
      <c r="I56" s="2490"/>
      <c r="J56" s="1812" t="str">
        <f>IF(项目基本情况!K6="上海银行",IF(J55="",4,J55+1),"")</f>
        <v/>
      </c>
      <c r="K56" s="3183" t="str">
        <f>IF(项目基本情况!K6="上海银行","其他处置费用","")</f>
        <v/>
      </c>
      <c r="L56" s="3184"/>
      <c r="M56" s="1754" t="str">
        <f>IF(项目基本情况!K6="上海银行",M69,"")</f>
        <v/>
      </c>
      <c r="N56" s="3186" t="str">
        <f>IF(项目基本情况!K6="上海银行","包含处置中涉及的律师、诉讼、拍卖、评估等费用","")</f>
        <v/>
      </c>
      <c r="O56" s="3187"/>
    </row>
    <row r="57" spans="1:35" ht="12.75">
      <c r="A57" s="183" t="s">
        <v>2196</v>
      </c>
      <c r="B57" s="3125" t="s">
        <v>2224</v>
      </c>
      <c r="C57" s="3134"/>
      <c r="D57" s="187">
        <v>0</v>
      </c>
      <c r="E57" s="23" t="s">
        <v>2198</v>
      </c>
      <c r="F57" s="155"/>
      <c r="G57" s="2486"/>
      <c r="H57" s="2490"/>
      <c r="I57" s="2490"/>
      <c r="J57" s="3160">
        <f>IF(AND(J55="",J56=""),4,IF(项目基本情况!K6="上海银行",结果表!J56+1,结果表!J55+1))</f>
        <v>4</v>
      </c>
      <c r="K57" s="3160" t="s">
        <v>2225</v>
      </c>
      <c r="L57" s="2491" t="s">
        <v>2226</v>
      </c>
      <c r="M57" s="1759"/>
      <c r="N57" s="1760">
        <f ca="1">SUMIF(M52:M56,"&lt;9e307")</f>
        <v>446</v>
      </c>
      <c r="O57" s="2492"/>
      <c r="P57" s="1753" t="e">
        <f ca="1">N57/M49</f>
        <v>#VALUE!</v>
      </c>
    </row>
    <row r="58" spans="1:35" ht="24.75">
      <c r="A58" s="183" t="s">
        <v>2207</v>
      </c>
      <c r="B58" s="3125" t="s">
        <v>2227</v>
      </c>
      <c r="C58" s="3126"/>
      <c r="D58" s="185">
        <f ca="1">IF(H58="转让取得",C81,C97)</f>
        <v>446</v>
      </c>
      <c r="E58" s="11" t="s">
        <v>2222</v>
      </c>
      <c r="F58" s="24" t="s">
        <v>34</v>
      </c>
      <c r="G58" s="2486"/>
      <c r="H58" s="2489" t="s">
        <v>2228</v>
      </c>
      <c r="I58" s="2490"/>
      <c r="J58" s="3160"/>
      <c r="K58" s="3160"/>
      <c r="L58" s="2491" t="s">
        <v>2229</v>
      </c>
      <c r="M58" s="1761"/>
      <c r="N58" s="2493" t="str">
        <f ca="1">NUMBERSTRING(INT(N57*10000),2)&amp;"元整"</f>
        <v>肆佰肆拾陆万元整</v>
      </c>
      <c r="O58" s="2494"/>
    </row>
    <row r="59" spans="1:35" ht="24.75" thickBot="1">
      <c r="A59" s="3163" t="s">
        <v>2230</v>
      </c>
      <c r="B59" s="3164"/>
      <c r="C59" s="3164"/>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61">
        <f>J57+1</f>
        <v>5</v>
      </c>
      <c r="K59" s="3160" t="s">
        <v>2232</v>
      </c>
      <c r="L59" s="1812" t="s">
        <v>2226</v>
      </c>
      <c r="M59" s="1762"/>
      <c r="N59" s="1763" t="e">
        <f ca="1">M49-N57</f>
        <v>#VALUE!</v>
      </c>
      <c r="O59" s="2496"/>
    </row>
    <row r="60" spans="1:35" ht="12" customHeight="1">
      <c r="A60" s="2497"/>
      <c r="B60" s="2419"/>
      <c r="C60" s="2419"/>
      <c r="D60" s="2419"/>
      <c r="E60" s="2167"/>
      <c r="F60" s="2490"/>
      <c r="G60" s="2490"/>
      <c r="H60" s="2498"/>
      <c r="I60" s="138"/>
      <c r="J60" s="3162"/>
      <c r="K60" s="3160"/>
      <c r="L60" s="2491" t="s">
        <v>2229</v>
      </c>
      <c r="M60" s="1761"/>
      <c r="N60" s="2493" t="e">
        <f ca="1">NUMBERSTRING(INT(N59*10000),2)&amp;"元整"</f>
        <v>#VALUE!</v>
      </c>
      <c r="O60" s="2494"/>
    </row>
    <row r="61" spans="1:35" ht="13.5" thickBot="1">
      <c r="A61" s="3107" t="s">
        <v>2233</v>
      </c>
      <c r="B61" s="3107"/>
      <c r="C61" s="3107"/>
      <c r="D61" s="3107"/>
      <c r="E61" s="3107"/>
      <c r="F61" s="2490"/>
      <c r="G61" s="2490"/>
      <c r="H61" s="2498"/>
      <c r="I61" s="138"/>
      <c r="J61" s="1812">
        <f>J59+1</f>
        <v>6</v>
      </c>
      <c r="K61" s="3160" t="s">
        <v>2234</v>
      </c>
      <c r="L61" s="3160"/>
      <c r="M61" s="1764"/>
      <c r="N61" s="1765" t="e">
        <f ca="1">ROUND(N59*10000/'数据-汇总表'!E3,0)</f>
        <v>#VALUE!</v>
      </c>
      <c r="O61" s="2499"/>
    </row>
    <row r="62" spans="1:35" ht="12.75">
      <c r="A62" s="3123" t="s">
        <v>2235</v>
      </c>
      <c r="B62" s="3124"/>
      <c r="C62" s="1804"/>
      <c r="D62" s="1804" t="s">
        <v>2236</v>
      </c>
      <c r="E62" s="192" t="s">
        <v>2237</v>
      </c>
      <c r="F62" s="2490"/>
      <c r="G62" s="2490"/>
      <c r="H62" s="2498"/>
      <c r="I62" s="138"/>
    </row>
    <row r="63" spans="1:35" ht="12.75">
      <c r="A63" s="203" t="s">
        <v>775</v>
      </c>
      <c r="B63" s="193" t="s">
        <v>2238</v>
      </c>
      <c r="C63" s="194">
        <f ca="1">ROUND((C64+C65)/(1+'数据-取费表'!C42),0)</f>
        <v>751</v>
      </c>
      <c r="D63" s="195"/>
      <c r="E63" s="196"/>
      <c r="F63" s="2490"/>
      <c r="G63" s="2490"/>
      <c r="H63" s="2498"/>
      <c r="I63" s="138"/>
      <c r="J63" s="3185"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789</v>
      </c>
      <c r="D64" s="200" t="s">
        <v>32</v>
      </c>
      <c r="E64" s="201"/>
      <c r="F64" s="2490"/>
      <c r="G64" s="2490"/>
      <c r="H64" s="2498"/>
      <c r="I64" s="138"/>
      <c r="J64" s="3185"/>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85"/>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85"/>
      <c r="K66" s="2500" t="s">
        <v>2247</v>
      </c>
      <c r="L66" s="1752" t="e">
        <f>M49*0.5%</f>
        <v>#VALUE!</v>
      </c>
      <c r="M66" s="24" t="e">
        <f>IF(L66&gt;0.5,0.5,ROUND(L66,0))</f>
        <v>#VALUE!</v>
      </c>
      <c r="N66" s="138" t="s">
        <v>2248</v>
      </c>
      <c r="Z66" s="2424"/>
      <c r="AI66" s="2425"/>
    </row>
    <row r="67" spans="1:35" ht="14.25" customHeight="1">
      <c r="A67" s="203" t="s">
        <v>773</v>
      </c>
      <c r="B67" s="204" t="s">
        <v>2249</v>
      </c>
      <c r="C67" s="207">
        <f ca="1">C63-C66</f>
        <v>751</v>
      </c>
      <c r="D67" s="200" t="s">
        <v>32</v>
      </c>
      <c r="E67" s="201"/>
      <c r="F67" s="2490"/>
      <c r="G67" s="2490"/>
      <c r="H67" s="2498"/>
      <c r="I67" s="138"/>
      <c r="J67" s="3185"/>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42</v>
      </c>
      <c r="D68" s="211">
        <f>'数据-取费表'!B41</f>
        <v>5.6000000000000001E-2</v>
      </c>
      <c r="E68" s="212"/>
      <c r="F68" s="2490"/>
      <c r="G68" s="2490"/>
      <c r="H68" s="2498"/>
      <c r="I68" s="138"/>
      <c r="J68" s="3185"/>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85"/>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4" t="s">
        <v>2254</v>
      </c>
      <c r="B70" s="3145"/>
      <c r="C70" s="3145"/>
      <c r="D70" s="3145"/>
      <c r="E70" s="3145"/>
      <c r="F70" s="3145"/>
      <c r="G70" s="3145"/>
      <c r="H70" s="314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3" t="s">
        <v>2235</v>
      </c>
      <c r="B71" s="3124"/>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751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18" t="s">
        <v>2263</v>
      </c>
      <c r="F76" s="3095"/>
      <c r="G76" s="3095"/>
      <c r="H76" s="314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5</v>
      </c>
      <c r="D78" s="226">
        <f>'数据-取费表'!B43</f>
        <v>6.000000000000001E-3</v>
      </c>
      <c r="E78" s="3104" t="s">
        <v>2268</v>
      </c>
      <c r="F78" s="3105"/>
      <c r="G78" s="3105"/>
      <c r="H78" s="311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746</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149.19999999999999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4" t="s">
        <v>2272</v>
      </c>
      <c r="B83" s="3145"/>
      <c r="C83" s="3145"/>
      <c r="D83" s="3145"/>
      <c r="E83" s="3145"/>
      <c r="F83" s="3145"/>
      <c r="G83" s="3145"/>
      <c r="H83" s="314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3" t="s">
        <v>2235</v>
      </c>
      <c r="B84" s="3124"/>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751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04" t="s">
        <v>2281</v>
      </c>
      <c r="F91" s="3105"/>
      <c r="G91" s="310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04" t="s">
        <v>2285</v>
      </c>
      <c r="F92" s="3105"/>
      <c r="G92" s="3105"/>
      <c r="H92" s="311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5</v>
      </c>
      <c r="D93" s="226">
        <f>'数据-取费表'!B43</f>
        <v>6.000000000000001E-3</v>
      </c>
      <c r="E93" s="3104" t="s">
        <v>2268</v>
      </c>
      <c r="F93" s="3105"/>
      <c r="G93" s="3105"/>
      <c r="H93" s="311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15" t="s">
        <v>2289</v>
      </c>
      <c r="F94" s="3116"/>
      <c r="G94" s="3116"/>
      <c r="H94" s="311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746</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149.19999999999999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9" t="s">
        <v>2291</v>
      </c>
      <c r="B100" s="3090"/>
      <c r="C100" s="3090"/>
      <c r="D100" s="3106"/>
      <c r="E100" s="3090" t="s">
        <v>2292</v>
      </c>
      <c r="F100" s="3090"/>
      <c r="G100" s="3090"/>
      <c r="H100" s="3106"/>
      <c r="I100" s="138"/>
    </row>
    <row r="101" spans="1:35" ht="18.75" customHeight="1">
      <c r="A101" s="3168" t="s">
        <v>2293</v>
      </c>
      <c r="B101" s="3169"/>
      <c r="C101" s="736" t="str">
        <f>C4</f>
        <v>比较法-商业</v>
      </c>
      <c r="D101" s="737" t="str">
        <f>D4</f>
        <v>收益法 (元)</v>
      </c>
      <c r="E101" s="3182" t="s">
        <v>2294</v>
      </c>
      <c r="F101" s="3136"/>
      <c r="G101" s="2521" t="s">
        <v>2295</v>
      </c>
      <c r="H101" s="1048">
        <f ca="1">H118</f>
        <v>789</v>
      </c>
      <c r="I101" s="138"/>
    </row>
    <row r="102" spans="1:35" ht="18.75" customHeight="1">
      <c r="A102" s="3138" t="s">
        <v>2296</v>
      </c>
      <c r="B102" s="2521" t="s">
        <v>2295</v>
      </c>
      <c r="C102" s="736">
        <f ca="1">C19</f>
        <v>916</v>
      </c>
      <c r="D102" s="737">
        <f ca="1">D19</f>
        <v>494</v>
      </c>
      <c r="E102" s="3182"/>
      <c r="F102" s="3136"/>
      <c r="G102" s="2521" t="s">
        <v>2297</v>
      </c>
      <c r="H102" s="371">
        <f ca="1">I118</f>
        <v>22551</v>
      </c>
      <c r="I102" s="138"/>
    </row>
    <row r="103" spans="1:35" ht="42.75" customHeight="1">
      <c r="A103" s="3138"/>
      <c r="B103" s="2521" t="s">
        <v>2297</v>
      </c>
      <c r="C103" s="738">
        <f ca="1">C20</f>
        <v>26170</v>
      </c>
      <c r="D103" s="739">
        <f ca="1">D20</f>
        <v>14131</v>
      </c>
      <c r="E103" s="3177" t="s">
        <v>2298</v>
      </c>
      <c r="F103" s="3178"/>
      <c r="G103" s="2522" t="s">
        <v>2299</v>
      </c>
      <c r="H103" s="1048">
        <f>IF(D36="正常操作",H104+H105+H106,H105+H106)</f>
        <v>0</v>
      </c>
      <c r="I103" s="138"/>
    </row>
    <row r="104" spans="1:35" ht="18.75" customHeight="1">
      <c r="A104" s="3138" t="s">
        <v>2300</v>
      </c>
      <c r="B104" s="2523" t="s">
        <v>2295</v>
      </c>
      <c r="C104" s="740">
        <f ca="1">H118</f>
        <v>789</v>
      </c>
      <c r="D104" s="741"/>
      <c r="E104" s="2268" t="s">
        <v>2301</v>
      </c>
      <c r="F104" s="2259"/>
      <c r="G104" s="2522" t="s">
        <v>2299</v>
      </c>
      <c r="H104" s="1049">
        <f>IF(D36="同一抵押权人同一抵押物续贷",C36&amp;"（未扣减，详见特别提示）",C36)</f>
        <v>0</v>
      </c>
      <c r="I104" s="138"/>
    </row>
    <row r="105" spans="1:35" ht="18.75" customHeight="1" thickBot="1">
      <c r="A105" s="3139"/>
      <c r="B105" s="2524" t="s">
        <v>2297</v>
      </c>
      <c r="C105" s="742">
        <f ca="1">I118</f>
        <v>22551</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35" t="str">
        <f>IF(项目基本情况!E8="已注销","——","3.房地产抵押价值")</f>
        <v>3.房地产抵押价值</v>
      </c>
      <c r="F107" s="3136"/>
      <c r="G107" s="2521" t="s">
        <v>2295</v>
      </c>
      <c r="H107" s="1048">
        <f ca="1">IF(E107="——","——",H101-H103)</f>
        <v>789</v>
      </c>
      <c r="I107" s="138"/>
    </row>
    <row r="108" spans="1:35" ht="18.75" customHeight="1">
      <c r="A108" s="138"/>
      <c r="B108" s="138"/>
      <c r="C108" s="138"/>
      <c r="D108" s="138"/>
      <c r="E108" s="3135"/>
      <c r="F108" s="3136"/>
      <c r="G108" s="2521" t="s">
        <v>2297</v>
      </c>
      <c r="H108" s="371">
        <f ca="1">ROUND(H107*10000/'数据-汇总表'!E3,0)</f>
        <v>2983</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21" t="s">
        <v>2295</v>
      </c>
      <c r="H109" s="348" t="str">
        <f>IF(E109="——","——",H101-H105-H106)</f>
        <v>——</v>
      </c>
      <c r="I109" s="138"/>
    </row>
    <row r="110" spans="1:35" ht="18.75" customHeight="1">
      <c r="A110" s="138"/>
      <c r="B110" s="138"/>
      <c r="C110" s="138"/>
      <c r="D110" s="138"/>
      <c r="E110" s="3135"/>
      <c r="F110" s="3136"/>
      <c r="G110" s="2521" t="s">
        <v>2297</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21" t="s">
        <v>2295</v>
      </c>
      <c r="H111" s="1048" t="str">
        <f>IF(E111="——","——",N59)</f>
        <v>——</v>
      </c>
      <c r="I111" s="138"/>
    </row>
    <row r="112" spans="1:35" ht="18.75" customHeight="1" thickBot="1">
      <c r="A112" s="138"/>
      <c r="B112" s="138"/>
      <c r="C112" s="138"/>
      <c r="D112" s="138"/>
      <c r="E112" s="3172"/>
      <c r="F112" s="3173"/>
      <c r="G112" s="2526" t="s">
        <v>2297</v>
      </c>
      <c r="H112" s="790" t="str">
        <f>IF(E111="——","——",N61)</f>
        <v>——</v>
      </c>
      <c r="I112" s="138"/>
    </row>
    <row r="113" spans="1:11" ht="18.75" customHeight="1">
      <c r="A113" s="138"/>
      <c r="B113" s="138"/>
      <c r="C113" s="138"/>
      <c r="D113" s="138"/>
      <c r="E113" s="3140" t="s">
        <v>2303</v>
      </c>
      <c r="F113" s="3140"/>
      <c r="G113" s="3140"/>
      <c r="H113" s="3140"/>
      <c r="I113" s="138"/>
    </row>
    <row r="114" spans="1:11" ht="3.75" customHeight="1">
      <c r="A114" s="2419"/>
      <c r="B114" s="2419"/>
      <c r="C114" s="2419"/>
      <c r="D114" s="2419"/>
      <c r="E114" s="2497"/>
      <c r="F114" s="2497"/>
      <c r="G114" s="2497"/>
      <c r="H114" s="2497"/>
      <c r="I114" s="2419"/>
    </row>
    <row r="115" spans="1:11" ht="18.75" customHeight="1">
      <c r="A115" s="3153" t="s">
        <v>2305</v>
      </c>
      <c r="B115" s="3154"/>
      <c r="C115" s="3154"/>
      <c r="D115" s="3154"/>
      <c r="E115" s="3154"/>
      <c r="F115" s="3154"/>
      <c r="G115" s="3154"/>
      <c r="H115" s="3154"/>
      <c r="I115" s="3155"/>
    </row>
    <row r="116" spans="1:11" ht="27" customHeight="1">
      <c r="A116" s="3046" t="s">
        <v>2306</v>
      </c>
      <c r="B116" s="3141" t="s">
        <v>2307</v>
      </c>
      <c r="C116" s="3141" t="s">
        <v>2308</v>
      </c>
      <c r="D116" s="3157" t="s">
        <v>2309</v>
      </c>
      <c r="E116" s="3158"/>
      <c r="F116" s="3149" t="s">
        <v>2310</v>
      </c>
      <c r="G116" s="3149"/>
      <c r="H116" s="3046" t="s">
        <v>2311</v>
      </c>
      <c r="I116" s="3046"/>
    </row>
    <row r="117" spans="1:11" ht="18.75" customHeight="1">
      <c r="A117" s="3046"/>
      <c r="B117" s="3142"/>
      <c r="C117" s="3142"/>
      <c r="D117" s="1798" t="s">
        <v>2312</v>
      </c>
      <c r="E117" s="1798" t="s">
        <v>2313</v>
      </c>
      <c r="F117" s="1798" t="s">
        <v>2312</v>
      </c>
      <c r="G117" s="1798" t="s">
        <v>2314</v>
      </c>
      <c r="H117" s="1798" t="s">
        <v>2312</v>
      </c>
      <c r="I117" s="1798" t="s">
        <v>2314</v>
      </c>
    </row>
    <row r="118" spans="1:11" ht="24.75" customHeight="1">
      <c r="A118" s="2527" t="str">
        <f>项目基本情况!S2</f>
        <v>新疆省昌吉市延安南路46号小区房地产</v>
      </c>
      <c r="B118" s="1798">
        <f>M18</f>
        <v>349.87</v>
      </c>
      <c r="C118" s="1798">
        <f>M19</f>
        <v>89.51</v>
      </c>
      <c r="D118" s="1798">
        <f ca="1">ROUND(IF(D32="总价",C34,E118*B118/10000),0)</f>
        <v>443</v>
      </c>
      <c r="E118" s="1798">
        <f ca="1">ROUND(IF(C33="自定义",IF(D32="楼面单价",C34,D118*10000/B118),I118-G118),0)</f>
        <v>12662</v>
      </c>
      <c r="F118" s="1798">
        <f ca="1">ROUND(IF(D32="总价",C35,G118*B118/10000),0)</f>
        <v>346</v>
      </c>
      <c r="G118" s="1798">
        <f ca="1">ROUND(IF(D32="楼面单价",C35,F118*10000/B118),0)</f>
        <v>9889</v>
      </c>
      <c r="H118" s="1798">
        <f ca="1">ROUND(IF(D32="总价",C32,I118*B118/10000),0)</f>
        <v>789</v>
      </c>
      <c r="I118" s="1798">
        <f ca="1">ROUND(IF(D32="楼面单价",C32,H118*10000/B118),0)</f>
        <v>22551</v>
      </c>
    </row>
    <row r="119" spans="1:11" ht="18.75" customHeight="1">
      <c r="A119" s="3046" t="s">
        <v>2315</v>
      </c>
      <c r="B119" s="3046"/>
      <c r="C119" s="3046"/>
      <c r="D119" s="3146" t="str">
        <f ca="1">NUMBERSTRING(INT(D118*10000),2)&amp;"元整"</f>
        <v>肆佰肆拾叁万元整</v>
      </c>
      <c r="E119" s="3148"/>
      <c r="F119" s="3146" t="str">
        <f ca="1">NUMBERSTRING(INT(F118*10000),2)&amp;"元整"</f>
        <v>叁佰肆拾陆万元整</v>
      </c>
      <c r="G119" s="3148"/>
      <c r="H119" s="3146" t="str">
        <f ca="1">NUMBERSTRING(INT(H118*10000),2)&amp;"元整"</f>
        <v>柒佰捌拾玖万元整</v>
      </c>
      <c r="I119" s="3148"/>
    </row>
    <row r="120" spans="1:11" ht="18.75" customHeight="1">
      <c r="A120" s="3174" t="str">
        <f>IF(项目基本情况!B9="房地产市场价值","",MID(E103,3,LEN(E103)-2))</f>
        <v/>
      </c>
      <c r="B120" s="3175"/>
      <c r="C120" s="3176"/>
      <c r="D120" s="3174">
        <f>H103</f>
        <v>0</v>
      </c>
      <c r="E120" s="3175"/>
      <c r="F120" s="3175"/>
      <c r="G120" s="3175"/>
      <c r="H120" s="3175"/>
      <c r="I120" s="3176"/>
      <c r="K120" s="2424" t="str">
        <f>IF(D120=0,"故，本次评估不存在"&amp;A120,"故，本次评估"&amp;A120&amp;"为人民币"&amp;D120&amp;"万元整。")</f>
        <v>故，本次评估不存在</v>
      </c>
    </row>
    <row r="121" spans="1:11" ht="18.75" customHeight="1">
      <c r="A121" s="3150" t="s">
        <v>2315</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
      </c>
      <c r="B122" s="3137"/>
      <c r="C122" s="3137"/>
      <c r="D122" s="3174">
        <f ca="1">H107</f>
        <v>789</v>
      </c>
      <c r="E122" s="3175"/>
      <c r="F122" s="3175"/>
      <c r="G122" s="3175"/>
      <c r="H122" s="3175"/>
      <c r="I122" s="3176"/>
    </row>
    <row r="123" spans="1:11" ht="18.75" customHeight="1">
      <c r="A123" s="3046" t="s">
        <v>2315</v>
      </c>
      <c r="B123" s="3046"/>
      <c r="C123" s="3046"/>
      <c r="D123" s="3146" t="str">
        <f ca="1">NUMBERSTRING(INT(D122*10000),2)&amp;"元整"</f>
        <v>柒佰捌拾玖万元整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2315</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2315</v>
      </c>
      <c r="B127" s="3046"/>
      <c r="C127" s="3046"/>
      <c r="D127" s="3146" t="e">
        <f>NUMBERSTRING(INT(D126*10000),2)&amp;"元整"</f>
        <v>#VALUE!</v>
      </c>
      <c r="E127" s="3147"/>
      <c r="F127" s="3147"/>
      <c r="G127" s="3147"/>
      <c r="H127" s="3147"/>
      <c r="I127" s="3148"/>
    </row>
    <row r="128" spans="1:11" ht="21.75" customHeight="1">
      <c r="A128" s="3156" t="s">
        <v>2316</v>
      </c>
      <c r="B128" s="3156"/>
      <c r="C128" s="3156"/>
      <c r="D128" s="3156"/>
      <c r="E128" s="3156"/>
      <c r="F128" s="3156"/>
      <c r="G128" s="3156"/>
      <c r="H128" s="3156"/>
      <c r="I128" s="3156"/>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8</v>
      </c>
    </row>
    <row r="2" spans="1:9" s="244" customFormat="1" ht="18" customHeight="1">
      <c r="A2" s="245" t="s">
        <v>2325</v>
      </c>
      <c r="B2" s="246">
        <f ca="1">IF(D2="——",C52,C52-E2)</f>
        <v>1187</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4488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4"/>
      <c r="H9" s="1393"/>
      <c r="I9" s="2555" t="s">
        <v>2342</v>
      </c>
    </row>
    <row r="10" spans="1:9" s="258" customFormat="1" ht="13.5" customHeight="1">
      <c r="A10" s="953" t="s">
        <v>801</v>
      </c>
      <c r="B10" s="268" t="s">
        <v>2343</v>
      </c>
      <c r="C10" s="269">
        <f ca="1">ROUND(D10*E10/10000,0)</f>
        <v>95</v>
      </c>
      <c r="D10" s="1035">
        <f ca="1">IF(B1="",'数据-汇总表'!E6,IF(INDIRECT("'数据-取费表'!c"&amp;$G$1)="住宅",INDIRECT("'数据-取费表'!s"&amp;$G$1),INDIRECT("'数据-取费表'!k"&amp;$G$1)+INDIRECT("'数据-取费表'!s"&amp;$G$1)))</f>
        <v>2644.5600000000004</v>
      </c>
      <c r="E10" s="269">
        <f>'数据-取费表'!B28</f>
        <v>360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95</v>
      </c>
      <c r="D19" s="1039">
        <f ca="1">D9+D10</f>
        <v>2644.5600000000004</v>
      </c>
      <c r="E19" s="255">
        <f>'数据-取费表'!B31</f>
        <v>360</v>
      </c>
      <c r="F19" s="275"/>
      <c r="G19" s="2553"/>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7</v>
      </c>
      <c r="D22" s="279">
        <f ca="1">C26</f>
        <v>6.9999999999999999E-4</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7</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19</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19</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133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772</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688</v>
      </c>
      <c r="D34" s="261"/>
      <c r="E34" s="264"/>
      <c r="F34" s="301">
        <f ca="1">IF('数据-取费表'!B24=0,1,IF(B1="",'数据-取费表'!N16,INDIRECT("'数据-取费表'!n"&amp;$G$1)))</f>
        <v>1</v>
      </c>
      <c r="G34" s="263" t="s">
        <v>2389</v>
      </c>
    </row>
    <row r="35" spans="1:7" ht="13.5" customHeight="1">
      <c r="A35" s="954" t="s">
        <v>796</v>
      </c>
      <c r="B35" s="259" t="s">
        <v>2390</v>
      </c>
      <c r="C35" s="264">
        <f ca="1">ROUND(C34*F35,0)</f>
        <v>21</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2393</v>
      </c>
    </row>
    <row r="37" spans="1:7" s="302" customFormat="1" ht="13.5" customHeight="1">
      <c r="A37" s="954" t="s">
        <v>798</v>
      </c>
      <c r="B37" s="259" t="s">
        <v>2394</v>
      </c>
      <c r="C37" s="293">
        <f ca="1">ROUND(E37*D37*F34/10000,0)</f>
        <v>53</v>
      </c>
      <c r="D37" s="261">
        <f ca="1">D19</f>
        <v>2644.5600000000004</v>
      </c>
      <c r="E37" s="293">
        <f>'数据-取费表'!B35</f>
        <v>200</v>
      </c>
      <c r="F37" s="303"/>
      <c r="G37" s="305" t="s">
        <v>2395</v>
      </c>
    </row>
    <row r="38" spans="1:7" ht="13.5" customHeight="1">
      <c r="A38" s="954" t="s">
        <v>799</v>
      </c>
      <c r="B38" s="259" t="s">
        <v>2396</v>
      </c>
      <c r="C38" s="264">
        <f ca="1">ROUND(C34*F38,0)</f>
        <v>10</v>
      </c>
      <c r="D38" s="264"/>
      <c r="E38" s="264"/>
      <c r="F38" s="303">
        <f>'数据-取费表'!B36</f>
        <v>1.4999999999999999E-2</v>
      </c>
      <c r="G38" s="263" t="s">
        <v>2391</v>
      </c>
    </row>
    <row r="39" spans="1:7" s="258" customFormat="1" ht="13.5" customHeight="1">
      <c r="A39" s="299" t="s">
        <v>2397</v>
      </c>
      <c r="B39" s="254" t="s">
        <v>2398</v>
      </c>
      <c r="C39" s="276">
        <f ca="1">ROUND(C33*F20,0)</f>
        <v>15</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28</v>
      </c>
      <c r="D41" s="279">
        <f ca="1">C44</f>
        <v>6.9999999999999999E-4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27</v>
      </c>
      <c r="D42" s="282"/>
      <c r="E42" s="282"/>
      <c r="F42" s="283"/>
      <c r="G42" s="3188" t="s">
        <v>2407</v>
      </c>
    </row>
    <row r="43" spans="1:7" ht="13.5" customHeight="1">
      <c r="A43" s="954" t="s">
        <v>792</v>
      </c>
      <c r="B43" s="259" t="s">
        <v>2408</v>
      </c>
      <c r="C43" s="282">
        <f ca="1">ROUND(IF('数据-取费表'!B22&lt;=1,C39*F22*'数据-取费表'!B21/2,C39*(POWER((1+F22),'数据-取费表'!B21/2)-1)),0)</f>
        <v>1</v>
      </c>
      <c r="D43" s="282"/>
      <c r="E43" s="282"/>
      <c r="F43" s="283"/>
      <c r="G43" s="3189"/>
    </row>
    <row r="44" spans="1:7" ht="13.5" customHeight="1">
      <c r="A44" s="954" t="s">
        <v>793</v>
      </c>
      <c r="B44" s="259" t="s">
        <v>2409</v>
      </c>
      <c r="C44" s="282">
        <f ca="1">ROUND(IF('数据-取费表'!B22&lt;=1,C40*F22*'数据-取费表'!B21/2,C40*(POWER((1+F22),'数据-取费表'!B21/2)-1)),4)</f>
        <v>6.9999999999999999E-4</v>
      </c>
      <c r="D44" s="282"/>
      <c r="E44" s="282"/>
      <c r="F44" s="283"/>
      <c r="G44" s="3190"/>
    </row>
    <row r="45" spans="1:7" s="258" customFormat="1" ht="13.5" customHeight="1">
      <c r="A45" s="299" t="s">
        <v>2410</v>
      </c>
      <c r="B45" s="288" t="s">
        <v>2376</v>
      </c>
      <c r="C45" s="289">
        <f ca="1">C46</f>
        <v>157</v>
      </c>
      <c r="D45" s="279">
        <f ca="1">C47</f>
        <v>4.0000000000000001E-3</v>
      </c>
      <c r="E45" s="280" t="s">
        <v>2402</v>
      </c>
      <c r="F45" s="290"/>
      <c r="G45" s="291" t="s">
        <v>2411</v>
      </c>
    </row>
    <row r="46" spans="1:7" s="258" customFormat="1" ht="13.5" customHeight="1">
      <c r="A46" s="954" t="s">
        <v>791</v>
      </c>
      <c r="B46" s="292" t="s">
        <v>2412</v>
      </c>
      <c r="C46" s="293">
        <f ca="1">ROUND((C33+C39)*F27,0)</f>
        <v>157</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1054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1054</v>
      </c>
      <c r="D51" s="276"/>
      <c r="E51" s="276"/>
      <c r="F51" s="308"/>
      <c r="G51" s="278" t="s">
        <v>2423</v>
      </c>
    </row>
    <row r="52" spans="1:7" s="252" customFormat="1" ht="16.5" thickBot="1">
      <c r="A52" s="309" t="s">
        <v>2424</v>
      </c>
      <c r="B52" s="310"/>
      <c r="C52" s="311">
        <f ca="1">C31+C51</f>
        <v>1187</v>
      </c>
      <c r="D52" s="310"/>
      <c r="E52" s="310"/>
      <c r="F52" s="310"/>
      <c r="G52" s="312"/>
    </row>
    <row r="55" spans="1:7" ht="15">
      <c r="B55" s="314" t="s">
        <v>2425</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2" t="str">
        <f>项目基本情况!B1</f>
        <v>新疆省昌吉市延安南路46号小区房地产市场价值预评估</v>
      </c>
      <c r="C37" s="3002"/>
      <c r="D37" s="3002"/>
      <c r="E37" s="3002"/>
      <c r="F37" s="3002"/>
      <c r="G37" s="3002"/>
      <c r="H37" s="3002"/>
      <c r="I37" s="3002"/>
    </row>
    <row r="38" spans="1:9">
      <c r="A38" s="1019"/>
      <c r="B38" s="1019"/>
    </row>
    <row r="39" spans="1:9">
      <c r="A39" s="1017" t="s">
        <v>818</v>
      </c>
      <c r="B39" s="1017" t="s">
        <v>820</v>
      </c>
    </row>
    <row r="40" spans="1:9">
      <c r="A40" s="1017"/>
      <c r="B40" s="1945" t="str">
        <f>项目基本情况!B5</f>
        <v>新华人寿保险股份有限公司新疆分公司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康正预评字2018-1-0276-P01HDZC2号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1322</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4999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952042</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952042</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952042</v>
      </c>
      <c r="D10" s="1035">
        <f ca="1">IF(B1="",'数据-汇总表'!E6,IF(INDIRECT("'数据-取费表'!c"&amp;$G$1)="住宅",INDIRECT("'数据-取费表'!s"&amp;$G$1),INDIRECT("'数据-取费表'!k"&amp;$G$1)+INDIRECT("'数据-取费表'!s"&amp;$G$1)))</f>
        <v>2644.5600000000004</v>
      </c>
      <c r="E10" s="269">
        <f>'数据-取费表'!B28</f>
        <v>360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952042</v>
      </c>
      <c r="D19" s="1039">
        <f ca="1">D9+D10</f>
        <v>2644.5600000000004</v>
      </c>
      <c r="E19" s="255">
        <f>'数据-取费表'!B31</f>
        <v>360</v>
      </c>
      <c r="F19" s="275"/>
      <c r="G19" s="2553"/>
    </row>
    <row r="20" spans="1:7" s="258" customFormat="1" ht="13.5" customHeight="1">
      <c r="A20" s="299" t="s">
        <v>2437</v>
      </c>
      <c r="B20" s="254" t="s">
        <v>2438</v>
      </c>
      <c r="C20" s="276">
        <f ca="1">ROUND((C5+C19)*F20,0)</f>
        <v>38082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138613</v>
      </c>
      <c r="D22" s="279">
        <f ca="1">C26</f>
        <v>6.9999999999999999E-4</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68632</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68632</v>
      </c>
      <c r="D24" s="282"/>
      <c r="E24" s="282"/>
      <c r="F24" s="283"/>
      <c r="G24" s="284" t="s">
        <v>2449</v>
      </c>
    </row>
    <row r="25" spans="1:7" s="258" customFormat="1" ht="24">
      <c r="A25" s="954" t="s">
        <v>2339</v>
      </c>
      <c r="B25" s="259" t="s">
        <v>2450</v>
      </c>
      <c r="C25" s="1384">
        <f ca="1">ROUND(IF('数据-取费表'!B22&lt;=1,C20*F22*'数据-取费表'!B22/2,C20*(POWER((1+F22),'数据-取费表'!B22/2)-1)),0)</f>
        <v>1349</v>
      </c>
      <c r="D25" s="282"/>
      <c r="E25" s="285"/>
      <c r="F25" s="283"/>
      <c r="G25" s="286" t="s">
        <v>2451</v>
      </c>
    </row>
    <row r="26" spans="1:7" s="258" customFormat="1">
      <c r="A26" s="954" t="s">
        <v>795</v>
      </c>
      <c r="B26" s="259" t="s">
        <v>2374</v>
      </c>
      <c r="C26" s="282">
        <f ca="1">ROUND(IF('数据-取费表'!B22&lt;=1,F21*F22*'数据-取费表'!B22/2,F21*(POWER((1+F22),'数据-取费表'!B22/2)-1)),4)</f>
        <v>6.9999999999999999E-4</v>
      </c>
      <c r="D26" s="282"/>
      <c r="E26" s="285"/>
      <c r="F26" s="283"/>
      <c r="G26" s="287"/>
    </row>
    <row r="27" spans="1:7" s="258" customFormat="1" ht="24.75">
      <c r="A27" s="299" t="s">
        <v>2375</v>
      </c>
      <c r="B27" s="288" t="s">
        <v>2376</v>
      </c>
      <c r="C27" s="289">
        <f ca="1">C28</f>
        <v>388433</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388433</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2678104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7714182</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6875856</v>
      </c>
      <c r="D34" s="261"/>
      <c r="E34" s="264"/>
      <c r="F34" s="301"/>
      <c r="G34" s="263"/>
    </row>
    <row r="35" spans="1:7" ht="13.5" customHeight="1">
      <c r="A35" s="954" t="s">
        <v>796</v>
      </c>
      <c r="B35" s="259" t="s">
        <v>2390</v>
      </c>
      <c r="C35" s="264">
        <f ca="1">ROUND(C34*F35,0)</f>
        <v>206276</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0.03</v>
      </c>
      <c r="G36" s="304" t="s">
        <v>2393</v>
      </c>
    </row>
    <row r="37" spans="1:7" s="302" customFormat="1" ht="13.5" customHeight="1">
      <c r="A37" s="954" t="s">
        <v>798</v>
      </c>
      <c r="B37" s="259" t="s">
        <v>2394</v>
      </c>
      <c r="C37" s="293">
        <f ca="1">ROUND(E37*D37,0)</f>
        <v>528912</v>
      </c>
      <c r="D37" s="261">
        <f ca="1">D19</f>
        <v>2644.5600000000004</v>
      </c>
      <c r="E37" s="293">
        <f>'数据-取费表'!B35</f>
        <v>200</v>
      </c>
      <c r="F37" s="303"/>
      <c r="G37" s="305"/>
    </row>
    <row r="38" spans="1:7" ht="13.5" customHeight="1">
      <c r="A38" s="954" t="s">
        <v>799</v>
      </c>
      <c r="B38" s="259" t="s">
        <v>2396</v>
      </c>
      <c r="C38" s="264">
        <f ca="1">ROUND(C34*F38,0)</f>
        <v>103138</v>
      </c>
      <c r="D38" s="264"/>
      <c r="E38" s="264"/>
      <c r="F38" s="303">
        <f>'数据-取费表'!B36</f>
        <v>1.4999999999999999E-2</v>
      </c>
      <c r="G38" s="263" t="s">
        <v>2391</v>
      </c>
    </row>
    <row r="39" spans="1:7" s="258" customFormat="1" ht="13.5" customHeight="1">
      <c r="A39" s="299" t="s">
        <v>2397</v>
      </c>
      <c r="B39" s="254" t="s">
        <v>2398</v>
      </c>
      <c r="C39" s="276">
        <f ca="1">ROUND(C33*F20,0)</f>
        <v>154284</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278681</v>
      </c>
      <c r="D41" s="279">
        <f ca="1">C44</f>
        <v>6.9999999999999999E-4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273217</v>
      </c>
      <c r="D42" s="282"/>
      <c r="E42" s="282"/>
      <c r="F42" s="283"/>
      <c r="G42" s="3188" t="s">
        <v>2454</v>
      </c>
    </row>
    <row r="43" spans="1:7" ht="13.5" customHeight="1">
      <c r="A43" s="954" t="s">
        <v>792</v>
      </c>
      <c r="B43" s="259" t="s">
        <v>2408</v>
      </c>
      <c r="C43" s="282">
        <f ca="1">ROUND(IF('数据-取费表'!B22&lt;=1,C39*F22*'数据-取费表'!B20/2,C39*(POWER((1+F22),'数据-取费表'!B20/2)-1)),0)</f>
        <v>5464</v>
      </c>
      <c r="D43" s="282"/>
      <c r="E43" s="282"/>
      <c r="F43" s="283"/>
      <c r="G43" s="3189"/>
    </row>
    <row r="44" spans="1:7" ht="13.5" customHeight="1">
      <c r="A44" s="954" t="s">
        <v>793</v>
      </c>
      <c r="B44" s="259" t="s">
        <v>2409</v>
      </c>
      <c r="C44" s="282">
        <f ca="1">ROUND(IF('数据-取费表'!B22&lt;=1,C40*F22*'数据-取费表'!B20/2,C40*(POWER((1+F22),'数据-取费表'!B20/2)-1)),4)</f>
        <v>6.9999999999999999E-4</v>
      </c>
      <c r="D44" s="282"/>
      <c r="E44" s="282"/>
      <c r="F44" s="283"/>
      <c r="G44" s="3190"/>
    </row>
    <row r="45" spans="1:7" s="258" customFormat="1" ht="13.5" customHeight="1">
      <c r="A45" s="299" t="s">
        <v>2410</v>
      </c>
      <c r="B45" s="288" t="s">
        <v>2376</v>
      </c>
      <c r="C45" s="289">
        <f ca="1">C46</f>
        <v>1573693</v>
      </c>
      <c r="D45" s="279">
        <f ca="1">C47</f>
        <v>4.0000000000000001E-3</v>
      </c>
      <c r="E45" s="280" t="s">
        <v>2402</v>
      </c>
      <c r="F45" s="290"/>
      <c r="G45" s="291" t="s">
        <v>2411</v>
      </c>
    </row>
    <row r="46" spans="1:7" s="258" customFormat="1" ht="13.5" customHeight="1">
      <c r="A46" s="954" t="s">
        <v>791</v>
      </c>
      <c r="B46" s="292" t="s">
        <v>2412</v>
      </c>
      <c r="C46" s="293">
        <f ca="1">ROUND((C33+C39)*F27,0)</f>
        <v>1573693</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10543210</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10543210</v>
      </c>
      <c r="D51" s="276"/>
      <c r="E51" s="276"/>
      <c r="F51" s="308"/>
      <c r="G51" s="278" t="s">
        <v>2423</v>
      </c>
    </row>
    <row r="52" spans="1:7" s="252" customFormat="1" ht="16.5" thickBot="1">
      <c r="A52" s="309" t="s">
        <v>2424</v>
      </c>
      <c r="B52" s="310"/>
      <c r="C52" s="311">
        <f ca="1">C31+C51</f>
        <v>13221314</v>
      </c>
      <c r="D52" s="310"/>
      <c r="E52" s="310"/>
      <c r="F52" s="310"/>
      <c r="G52" s="312"/>
    </row>
    <row r="55" spans="1:7" ht="15">
      <c r="B55" s="314" t="s">
        <v>2425</v>
      </c>
      <c r="C55" s="315"/>
    </row>
    <row r="56" spans="1:7">
      <c r="B56" s="317" t="s">
        <v>1513</v>
      </c>
      <c r="C56" s="319">
        <f ca="1">1-C57</f>
        <v>0.20299999999999996</v>
      </c>
    </row>
    <row r="57" spans="1:7">
      <c r="B57" s="317" t="s">
        <v>1514</v>
      </c>
      <c r="C57" s="318">
        <f ca="1">ROUND(C51/C52,3)</f>
        <v>0.79700000000000004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-113</v>
      </c>
      <c r="C2" s="320" t="s">
        <v>2458</v>
      </c>
      <c r="D2" s="320"/>
      <c r="E2" s="320"/>
      <c r="F2" s="320"/>
      <c r="G2" s="320"/>
      <c r="H2" s="320"/>
      <c r="I2" s="320"/>
      <c r="J2" s="320"/>
      <c r="K2" s="320"/>
    </row>
    <row r="3" spans="1:33" ht="18" customHeight="1" thickBot="1">
      <c r="A3" s="247" t="s">
        <v>2327</v>
      </c>
      <c r="B3" s="248">
        <f ca="1">ROUND(B2*10000/IF(C1="",'数据-汇总表'!E3,INDIRECT("'数据-取费表'!K"&amp;$K$1)),0)</f>
        <v>-427</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0.03</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2644.5600000000004</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2644.5600000000004</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95</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2493</v>
      </c>
      <c r="C20" s="24">
        <f ca="1">ROUND(D20*E20/10000,0)</f>
        <v>95</v>
      </c>
      <c r="D20" s="1036">
        <f ca="1">IF(C1="",'数据-汇总表'!E6,IF(INDIRECT("'数据-取费表'!c"&amp;$K$1)="住宅",INDIRECT("'数据-取费表'!s"&amp;$K$1),INDIRECT("'数据-取费表'!k"&amp;$K$1)+INDIRECT("'数据-取费表'!s"&amp;$K$1)))</f>
        <v>2644.5600000000004</v>
      </c>
      <c r="E20" s="24">
        <f>'数据-取费表'!B28</f>
        <v>360</v>
      </c>
      <c r="F20" s="979"/>
      <c r="G20" s="15"/>
      <c r="H20" s="984"/>
      <c r="I20" s="984"/>
      <c r="J20" s="984"/>
      <c r="K20" s="985"/>
    </row>
    <row r="21" spans="1:33" s="978" customFormat="1" ht="13.5" customHeight="1">
      <c r="A21" s="964" t="s">
        <v>802</v>
      </c>
      <c r="B21" s="988" t="s">
        <v>2494</v>
      </c>
      <c r="C21" s="989">
        <f ca="1">C16+C17+C18</f>
        <v>95</v>
      </c>
      <c r="D21" s="990"/>
      <c r="E21" s="325"/>
      <c r="F21" s="325"/>
      <c r="G21" s="140" t="s">
        <v>2495</v>
      </c>
      <c r="H21" s="982"/>
      <c r="I21" s="982"/>
      <c r="J21" s="982"/>
      <c r="K21" s="983"/>
    </row>
    <row r="22" spans="1:33" s="978" customFormat="1" ht="13.5" customHeight="1">
      <c r="A22" s="964" t="s">
        <v>2467</v>
      </c>
      <c r="B22" s="988" t="s">
        <v>2496</v>
      </c>
      <c r="C22" s="989">
        <f ca="1">ROUND(C21*F22,0)</f>
        <v>2</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19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19</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-113</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3" t="s">
        <v>1403</v>
      </c>
      <c r="C6" s="1299">
        <f ca="1">ROUND(F6*F8*F7*(1-F9)/10000,0)</f>
        <v>0</v>
      </c>
      <c r="D6" s="164" t="s">
        <v>3030</v>
      </c>
      <c r="E6" s="347" t="s">
        <v>1405</v>
      </c>
      <c r="F6" s="348">
        <f ca="1">INDIRECT("'数据-取费表'!u"&amp;$G$1)</f>
        <v>0</v>
      </c>
      <c r="G6" s="1854"/>
      <c r="H6" s="1294" t="s">
        <v>1035</v>
      </c>
      <c r="I6" s="3193" t="s">
        <v>1403</v>
      </c>
      <c r="J6" s="346">
        <f ca="1">ROUND(M6*M8*M7*(1-M9)/10000,0)</f>
        <v>0</v>
      </c>
      <c r="K6" s="164" t="s">
        <v>3029</v>
      </c>
      <c r="L6" s="347" t="s">
        <v>1405</v>
      </c>
      <c r="M6" s="348">
        <f ca="1">INDIRECT("'数据-取费表'!z"&amp;$G$1)</f>
        <v>0</v>
      </c>
    </row>
    <row r="7" spans="1:37" ht="18" customHeight="1">
      <c r="A7" s="1298"/>
      <c r="B7" s="3194"/>
      <c r="C7" s="1300"/>
      <c r="D7" s="352"/>
      <c r="E7" s="1301" t="s">
        <v>1406</v>
      </c>
      <c r="F7" s="348">
        <f ca="1">IF(INDIRECT("'数据-取费表'!ah"&amp;$G$1)="",INDIRECT("'数据-取费表'!k"&amp;$G$1),INDIRECT("'数据-取费表'!ah"&amp;$G$1))</f>
        <v>0</v>
      </c>
      <c r="G7" s="1854"/>
      <c r="H7" s="349"/>
      <c r="I7" s="3194"/>
      <c r="J7" s="351"/>
      <c r="K7" s="352"/>
      <c r="L7" s="347" t="s">
        <v>1406</v>
      </c>
      <c r="M7" s="348">
        <f ca="1">F7</f>
        <v>0</v>
      </c>
    </row>
    <row r="8" spans="1:37" ht="18" customHeight="1">
      <c r="A8" s="349"/>
      <c r="B8" s="3194"/>
      <c r="C8" s="351"/>
      <c r="D8" s="352"/>
      <c r="E8" s="347" t="s">
        <v>1407</v>
      </c>
      <c r="F8" s="348">
        <f ca="1">INDIRECT("'数据-取费表'!ai"&amp;$G$1)</f>
        <v>0</v>
      </c>
      <c r="G8" s="1854"/>
      <c r="H8" s="349"/>
      <c r="I8" s="3194"/>
      <c r="J8" s="351"/>
      <c r="K8" s="352"/>
      <c r="L8" s="347" t="s">
        <v>1407</v>
      </c>
      <c r="M8" s="348">
        <f ca="1">INDIRECT("'数据-取费表'!ai"&amp;$G$1)</f>
        <v>0</v>
      </c>
    </row>
    <row r="9" spans="1:37" ht="18" customHeight="1">
      <c r="A9" s="349"/>
      <c r="B9" s="3195"/>
      <c r="C9" s="351"/>
      <c r="D9" s="352"/>
      <c r="E9" s="347" t="s">
        <v>1408</v>
      </c>
      <c r="F9" s="357">
        <f ca="1">INDIRECT("'数据-取费表'!w"&amp;$G$1)</f>
        <v>0</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t="b">
        <f>IF(M47="住宅",J51,IF(D1="——",MIN(J51,L48),IF(D1="在建（套用方法）",MIN(J51,L48-'数据-取费表'!B24),IF(D1="土地（套用方法）",MIN(J51,L48-'数据-取费表'!B20)))))</f>
        <v>0</v>
      </c>
      <c r="K53" s="3191" t="s">
        <v>1548</v>
      </c>
      <c r="L53" s="3192"/>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11</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3077</v>
      </c>
      <c r="D1" s="2419"/>
      <c r="E1" s="2419"/>
      <c r="F1" s="2421" t="s">
        <v>2116</v>
      </c>
      <c r="G1" s="2072" t="s">
        <v>3073</v>
      </c>
      <c r="H1" s="2422" t="str">
        <f>IF(G1="现房","——","估价对象范围")</f>
        <v>——</v>
      </c>
      <c r="I1" s="2423"/>
    </row>
    <row r="2" spans="1:12" ht="21.75" customHeight="1" thickBot="1">
      <c r="A2" s="3128" t="str">
        <f>项目基本情况!S2</f>
        <v>新疆省昌吉市延安南路46号小区房地产</v>
      </c>
      <c r="B2" s="3129"/>
      <c r="C2" s="3129"/>
      <c r="D2" s="3129"/>
      <c r="E2" s="3129"/>
      <c r="F2" s="3129"/>
      <c r="G2" s="3129"/>
      <c r="H2" s="3129"/>
      <c r="I2" s="3130"/>
    </row>
    <row r="3" spans="1:12" ht="12.75">
      <c r="A3" s="3132" t="s">
        <v>2117</v>
      </c>
      <c r="B3" s="3133"/>
      <c r="C3" s="3133"/>
      <c r="D3" s="3133"/>
      <c r="E3" s="3133"/>
      <c r="F3" s="3133"/>
      <c r="G3" s="3133"/>
      <c r="H3" s="3133"/>
      <c r="I3" s="3133"/>
    </row>
    <row r="4" spans="1:12" ht="14.25">
      <c r="A4" s="2426" t="s">
        <v>2118</v>
      </c>
      <c r="B4" s="2427" t="s">
        <v>2119</v>
      </c>
      <c r="C4" s="2428" t="s">
        <v>3081</v>
      </c>
      <c r="D4" s="2428" t="s">
        <v>3075</v>
      </c>
      <c r="E4" s="3125" t="s">
        <v>2120</v>
      </c>
      <c r="F4" s="3126"/>
      <c r="G4" s="3126"/>
      <c r="H4" s="3126"/>
      <c r="I4" s="3134"/>
      <c r="K4" s="2429" t="str">
        <f>IF(ISNUMBER(FIND("比较法",'结果表-办公'!C4)),"比较法",IF(ISNUMBER(FIND("成本法",'结果表-办公'!C4)),"成本法",IF(ISNUMBER(FIND("假设开发法",'结果表-办公'!C4)),"假设开发法",IF(ISNUMBER(FIND("收益法",'结果表-办公'!C4)),"收益法","基准地价系数修正法"))))</f>
        <v>比较法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8" t="s">
        <v>2121</v>
      </c>
      <c r="B5" s="3046">
        <v>25</v>
      </c>
      <c r="C5" s="3111"/>
      <c r="D5" s="3131"/>
      <c r="E5" s="140" t="s">
        <v>2122</v>
      </c>
      <c r="F5" s="2430"/>
      <c r="G5" s="2430"/>
      <c r="H5" s="2430"/>
      <c r="I5" s="1834"/>
    </row>
    <row r="6" spans="1:12" ht="12.75">
      <c r="A6" s="3108"/>
      <c r="B6" s="3046"/>
      <c r="C6" s="3112"/>
      <c r="D6" s="3131"/>
      <c r="E6" s="140" t="s">
        <v>2123</v>
      </c>
      <c r="F6" s="2430"/>
      <c r="G6" s="2430"/>
      <c r="H6" s="2430"/>
      <c r="I6" s="1834"/>
    </row>
    <row r="7" spans="1:12" ht="12.75">
      <c r="A7" s="3108"/>
      <c r="B7" s="3046"/>
      <c r="C7" s="3113"/>
      <c r="D7" s="3131"/>
      <c r="E7" s="140" t="s">
        <v>2124</v>
      </c>
      <c r="F7" s="2430"/>
      <c r="G7" s="2430"/>
      <c r="H7" s="2430"/>
      <c r="I7" s="1834"/>
    </row>
    <row r="8" spans="1:12" ht="12.75">
      <c r="A8" s="3108" t="s">
        <v>2125</v>
      </c>
      <c r="B8" s="3046">
        <v>15</v>
      </c>
      <c r="C8" s="3111"/>
      <c r="D8" s="3131"/>
      <c r="E8" s="140" t="s">
        <v>2126</v>
      </c>
      <c r="F8" s="2430"/>
      <c r="G8" s="2430"/>
      <c r="H8" s="2430"/>
      <c r="I8" s="1834"/>
    </row>
    <row r="9" spans="1:12" ht="12.75">
      <c r="A9" s="3108"/>
      <c r="B9" s="3046"/>
      <c r="C9" s="3113"/>
      <c r="D9" s="3131"/>
      <c r="E9" s="140" t="s">
        <v>2127</v>
      </c>
      <c r="F9" s="2430"/>
      <c r="G9" s="2430"/>
      <c r="H9" s="2430"/>
      <c r="I9" s="1834"/>
    </row>
    <row r="10" spans="1:12" ht="12.75">
      <c r="A10" s="3108" t="s">
        <v>2128</v>
      </c>
      <c r="B10" s="3046">
        <v>15</v>
      </c>
      <c r="C10" s="3111"/>
      <c r="D10" s="3131"/>
      <c r="E10" s="140" t="s">
        <v>2129</v>
      </c>
      <c r="F10" s="2430"/>
      <c r="G10" s="2430"/>
      <c r="H10" s="2430"/>
      <c r="I10" s="1834"/>
    </row>
    <row r="11" spans="1:12" ht="12.75">
      <c r="A11" s="3108"/>
      <c r="B11" s="3046"/>
      <c r="C11" s="3113"/>
      <c r="D11" s="3131"/>
      <c r="E11" s="140" t="s">
        <v>2130</v>
      </c>
      <c r="F11" s="2430"/>
      <c r="G11" s="2430"/>
      <c r="H11" s="2430"/>
      <c r="I11" s="1834"/>
    </row>
    <row r="12" spans="1:12" ht="12.75">
      <c r="A12" s="3108" t="s">
        <v>2131</v>
      </c>
      <c r="B12" s="3046">
        <v>15</v>
      </c>
      <c r="C12" s="3111"/>
      <c r="D12" s="3131"/>
      <c r="E12" s="140" t="s">
        <v>2132</v>
      </c>
      <c r="F12" s="2430"/>
      <c r="G12" s="2430"/>
      <c r="H12" s="2430"/>
      <c r="I12" s="1834"/>
    </row>
    <row r="13" spans="1:12" ht="12.75">
      <c r="A13" s="3108"/>
      <c r="B13" s="3046"/>
      <c r="C13" s="3113"/>
      <c r="D13" s="3131"/>
      <c r="E13" s="140" t="s">
        <v>2133</v>
      </c>
      <c r="F13" s="2430"/>
      <c r="G13" s="2430"/>
      <c r="H13" s="2430"/>
      <c r="I13" s="1834"/>
    </row>
    <row r="14" spans="1:12" ht="12.75">
      <c r="A14" s="3108" t="s">
        <v>2134</v>
      </c>
      <c r="B14" s="3046">
        <v>30</v>
      </c>
      <c r="C14" s="3111">
        <v>5</v>
      </c>
      <c r="D14" s="3131">
        <v>5</v>
      </c>
      <c r="E14" s="140" t="s">
        <v>2135</v>
      </c>
      <c r="F14" s="2430"/>
      <c r="G14" s="2430"/>
      <c r="H14" s="2430"/>
      <c r="I14" s="1834"/>
    </row>
    <row r="15" spans="1:12" ht="12.75">
      <c r="A15" s="3108"/>
      <c r="B15" s="3046"/>
      <c r="C15" s="3112"/>
      <c r="D15" s="3131"/>
      <c r="E15" s="140" t="s">
        <v>2136</v>
      </c>
      <c r="F15" s="2430"/>
      <c r="G15" s="2430"/>
      <c r="H15" s="2430"/>
      <c r="I15" s="1834"/>
    </row>
    <row r="16" spans="1:12" ht="12.75">
      <c r="A16" s="3108"/>
      <c r="B16" s="3046"/>
      <c r="C16" s="3113"/>
      <c r="D16" s="3131"/>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2294.6900000000005</v>
      </c>
      <c r="M18" s="2429">
        <f>IF(C1="",'数据-汇总表'!E3,SUMIF(项目类型,C1,'数据-汇总表'!E17:E26))</f>
        <v>2294.6900000000005</v>
      </c>
    </row>
    <row r="19" spans="1:35" ht="15">
      <c r="A19" s="2435" t="s">
        <v>2143</v>
      </c>
      <c r="B19" s="2436" t="s">
        <v>2144</v>
      </c>
      <c r="C19" s="143">
        <f ca="1">SUMIF(INDIRECT("'"&amp;C4&amp;"'"&amp;"!A:A"),'结果表-办公'!B19,INDIRECT("'"&amp;C4&amp;"'"&amp;"!B:B"))</f>
        <v>1816</v>
      </c>
      <c r="D19" s="144">
        <f ca="1">SUMIF(INDIRECT("'"&amp;D4&amp;"'"&amp;"!A:A"),'结果表-办公'!B19,INDIRECT("'"&amp;D4&amp;"'"&amp;"!B:B"))</f>
        <v>1586</v>
      </c>
      <c r="E19" s="2435" t="s">
        <v>2145</v>
      </c>
      <c r="F19" s="2436" t="s">
        <v>2144</v>
      </c>
      <c r="G19" s="145">
        <f ca="1">ROUND(C19*$C$18+D19*$D$18,0)</f>
        <v>1701</v>
      </c>
      <c r="H19" s="2437" t="s">
        <v>2146</v>
      </c>
      <c r="I19" s="138"/>
      <c r="K19" s="2429" t="s">
        <v>2147</v>
      </c>
      <c r="L19" s="2429">
        <f>IF(C1="",'数据-汇总表'!D3,SUMIF(项目类型,C1,'数据-汇总表'!D17:D26)+SUMIF(项目类型,C1,'数据-汇总表'!H17:H27))</f>
        <v>587.04</v>
      </c>
      <c r="M19" s="2429">
        <f>IF(C1="",'数据-汇总表'!D3,SUMIF(项目类型,C1,'数据-汇总表'!D17:D26))</f>
        <v>587.04</v>
      </c>
    </row>
    <row r="20" spans="1:35" ht="15">
      <c r="A20" s="2438"/>
      <c r="B20" s="1250" t="s">
        <v>2148</v>
      </c>
      <c r="C20" s="146">
        <f ca="1">SUMIF(INDIRECT("'"&amp;C4&amp;"'"&amp;"!A:A"),'结果表-办公'!B20,INDIRECT("'"&amp;C4&amp;"'"&amp;"!B:B"))</f>
        <v>7914</v>
      </c>
      <c r="D20" s="147">
        <f ca="1">SUMIF(INDIRECT("'"&amp;D4&amp;"'"&amp;"!A:A"),'结果表-办公'!B20,INDIRECT("'"&amp;D4&amp;"'"&amp;"!B:B"))</f>
        <v>6910</v>
      </c>
      <c r="E20" s="2438"/>
      <c r="F20" s="1250" t="s">
        <v>2148</v>
      </c>
      <c r="G20" s="148">
        <f ca="1">ROUND(C20*$C$18+D20*$D$18,0)</f>
        <v>7412</v>
      </c>
      <c r="H20" s="983" t="s">
        <v>2149</v>
      </c>
      <c r="I20" s="138"/>
    </row>
    <row r="21" spans="1:35" ht="15" customHeight="1" thickBot="1">
      <c r="A21" s="1003"/>
      <c r="B21" s="2439" t="s">
        <v>2150</v>
      </c>
      <c r="C21" s="789">
        <f ca="1">ROUND(C19*10000/L19,0)</f>
        <v>30935</v>
      </c>
      <c r="D21" s="790">
        <f ca="1">ROUND(D19*10000/L19,0)</f>
        <v>27017</v>
      </c>
      <c r="E21" s="1003"/>
      <c r="F21" s="2439" t="s">
        <v>2150</v>
      </c>
      <c r="G21" s="149">
        <f ca="1">ROUND(G19*10000/L19,0)</f>
        <v>28976</v>
      </c>
      <c r="H21" s="2440" t="s">
        <v>2149</v>
      </c>
      <c r="I21" s="138"/>
    </row>
    <row r="22" spans="1:35" ht="15" thickBot="1">
      <c r="A22" s="2282" t="s">
        <v>2151</v>
      </c>
      <c r="B22" s="2441"/>
      <c r="C22" s="2442"/>
      <c r="D22" s="791">
        <f ca="1">IF(C19&lt;D19,D19/C19-1,C19/D19-1)</f>
        <v>0.14501891551071888</v>
      </c>
      <c r="E22" s="138"/>
      <c r="F22" s="138"/>
      <c r="G22" s="138"/>
      <c r="H22" s="138"/>
      <c r="I22" s="138"/>
    </row>
    <row r="23" spans="1:35" ht="13.5" thickBot="1">
      <c r="A23" s="2419"/>
      <c r="B23" s="2419"/>
      <c r="C23" s="2419"/>
      <c r="D23" s="2419"/>
      <c r="E23" s="138"/>
      <c r="F23" s="138"/>
      <c r="G23" s="138"/>
      <c r="H23" s="138"/>
      <c r="I23" s="138"/>
    </row>
    <row r="24" spans="1:35" ht="14.25">
      <c r="A24" s="3102" t="s">
        <v>2152</v>
      </c>
      <c r="B24" s="2436" t="s">
        <v>2144</v>
      </c>
      <c r="C24" s="145">
        <f>IF(B30=0,0,D30)</f>
        <v>0</v>
      </c>
      <c r="D24" s="2443"/>
      <c r="E24" s="138"/>
      <c r="F24" s="138"/>
      <c r="G24" s="138"/>
      <c r="H24" s="138"/>
      <c r="I24" s="138"/>
    </row>
    <row r="25" spans="1:35" ht="14.25">
      <c r="A25" s="3103"/>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1701</v>
      </c>
      <c r="D32" s="2450" t="s">
        <v>2159</v>
      </c>
      <c r="E32" s="138"/>
      <c r="F32" s="138"/>
      <c r="G32" s="138"/>
      <c r="H32" s="138"/>
      <c r="I32" s="138"/>
    </row>
    <row r="33" spans="1:15" ht="15">
      <c r="A33" s="960" t="s">
        <v>2160</v>
      </c>
      <c r="B33" s="2451"/>
      <c r="C33" s="2452" t="s">
        <v>3154</v>
      </c>
      <c r="D33" s="2453" t="s">
        <v>3075</v>
      </c>
      <c r="E33" s="2454" t="s">
        <v>2161</v>
      </c>
      <c r="F33" s="2944" t="str">
        <f>IF(D32="楼面单价","取值（单价）","取值（总价）")</f>
        <v>取值（总价）</v>
      </c>
      <c r="G33" s="138"/>
      <c r="H33" s="138"/>
      <c r="I33" s="138"/>
    </row>
    <row r="34" spans="1:15" ht="15">
      <c r="A34" s="2456"/>
      <c r="B34" s="2457" t="s">
        <v>2162</v>
      </c>
      <c r="C34" s="157">
        <f ca="1">IF(C33="自定义",F34,C32-C35)</f>
        <v>54</v>
      </c>
      <c r="D34" s="1058">
        <f ca="1">IF(C33="自定义",ROUND(C34/C32,3),IF(C33="收益比率",SUMIF(INDIRECT("'"&amp;D33&amp;"'"&amp;"!b:b"),"土地收益比率",INDIRECT("'"&amp;D33&amp;"'"&amp;"!c:c")),SUMIF(INDIRECT("'"&amp;D33&amp;"'"&amp;"!b:b"),"土地成本比率",INDIRECT("'"&amp;D33&amp;"'"&amp;"!c:c"))))</f>
        <v>3.2000000000000028E-2</v>
      </c>
      <c r="E34" s="2458" t="s">
        <v>2163</v>
      </c>
      <c r="F34" s="1739"/>
      <c r="G34" s="138"/>
      <c r="H34" s="138"/>
      <c r="I34" s="138"/>
    </row>
    <row r="35" spans="1:15" ht="15.75" thickBot="1">
      <c r="A35" s="2459"/>
      <c r="B35" s="2460" t="s">
        <v>2164</v>
      </c>
      <c r="C35" s="1444">
        <f ca="1">IF(C33="自定义",F35,ROUND(C32*D35,0))</f>
        <v>1647</v>
      </c>
      <c r="D35" s="1445">
        <f ca="1">IF(C33="自定义",ROUND(C35/C32,3),IF(C33="收益比率",SUMIF(INDIRECT("'"&amp;D33&amp;"'"&amp;"!b:b"),"建筑物收益比率",INDIRECT("'"&amp;D33&amp;"'"&amp;"!c:c")),SUMIF(INDIRECT("'"&amp;D33&amp;"'"&amp;"!b:b"),"建筑物成本比率",INDIRECT("'"&amp;D33&amp;"'"&amp;"!c:c"))))</f>
        <v>0.96799999999999997</v>
      </c>
      <c r="E35" s="2461" t="s">
        <v>2165</v>
      </c>
      <c r="F35" s="163"/>
      <c r="G35" s="138"/>
      <c r="H35" s="138"/>
      <c r="I35" s="138"/>
    </row>
    <row r="36" spans="1:15" ht="15.75" thickBot="1">
      <c r="A36" s="3120" t="s">
        <v>2166</v>
      </c>
      <c r="B36" s="2462" t="s">
        <v>2167</v>
      </c>
      <c r="C36" s="154"/>
      <c r="D36" s="2463"/>
      <c r="E36" s="2464"/>
      <c r="F36" s="2465"/>
      <c r="G36" s="138"/>
      <c r="H36" s="138"/>
      <c r="I36" s="138"/>
    </row>
    <row r="37" spans="1:15" ht="15.75" thickBot="1">
      <c r="A37" s="3121"/>
      <c r="B37" s="2268" t="s">
        <v>2168</v>
      </c>
      <c r="C37" s="156"/>
      <c r="D37" s="1395"/>
      <c r="E37" s="1395"/>
      <c r="F37" s="2465"/>
      <c r="G37" s="138"/>
      <c r="H37" s="138"/>
      <c r="I37" s="138"/>
    </row>
    <row r="38" spans="1:15" ht="15.75" thickBot="1">
      <c r="A38" s="3122"/>
      <c r="B38" s="2466" t="s">
        <v>2169</v>
      </c>
      <c r="C38" s="727"/>
      <c r="D38" s="2467" t="s">
        <v>2170</v>
      </c>
      <c r="E38" s="1395"/>
      <c r="F38" s="2465"/>
      <c r="G38" s="138"/>
      <c r="H38" s="138"/>
      <c r="I38" s="138"/>
    </row>
    <row r="39" spans="1:15" ht="15">
      <c r="A39" s="2438" t="s">
        <v>2171</v>
      </c>
      <c r="B39" s="2468" t="s">
        <v>2154</v>
      </c>
      <c r="C39" s="2469" t="s">
        <v>2155</v>
      </c>
      <c r="D39" s="2469" t="s">
        <v>2174</v>
      </c>
      <c r="E39" s="2470" t="s">
        <v>2156</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99" t="s">
        <v>2180</v>
      </c>
      <c r="B45" s="3100"/>
      <c r="C45" s="3101"/>
      <c r="D45" s="164">
        <f ca="1">ROUND(H101*F45,0)</f>
        <v>1701</v>
      </c>
      <c r="E45" s="165" t="s">
        <v>2181</v>
      </c>
      <c r="F45" s="166">
        <v>1</v>
      </c>
      <c r="G45" s="167" t="s">
        <v>2182</v>
      </c>
      <c r="H45" s="138"/>
      <c r="I45" s="138"/>
      <c r="J45" s="3159" t="s">
        <v>2183</v>
      </c>
      <c r="K45" s="3159"/>
      <c r="L45" s="3159"/>
      <c r="M45" s="3159"/>
      <c r="N45" s="3159"/>
      <c r="O45" s="3159"/>
    </row>
    <row r="46" spans="1:15" ht="14.25" customHeight="1">
      <c r="A46" s="3096" t="s">
        <v>2184</v>
      </c>
      <c r="B46" s="3097"/>
      <c r="C46" s="3097"/>
      <c r="D46" s="3097"/>
      <c r="E46" s="3097"/>
      <c r="F46" s="3097"/>
      <c r="G46" s="3098"/>
      <c r="H46" s="2481"/>
      <c r="I46" s="168"/>
      <c r="J46" s="2953">
        <v>1</v>
      </c>
      <c r="K46" s="3159" t="s">
        <v>2185</v>
      </c>
      <c r="L46" s="3159"/>
      <c r="M46" s="3179"/>
      <c r="N46" s="3179"/>
      <c r="O46" s="3179"/>
    </row>
    <row r="47" spans="1:15" ht="12" customHeight="1">
      <c r="A47" s="169" t="s">
        <v>2186</v>
      </c>
      <c r="B47" s="170"/>
      <c r="C47" s="171"/>
      <c r="D47" s="172" t="s">
        <v>2187</v>
      </c>
      <c r="E47" s="24" t="s">
        <v>2188</v>
      </c>
      <c r="F47" s="173" t="s">
        <v>2189</v>
      </c>
      <c r="G47" s="174" t="s">
        <v>2190</v>
      </c>
      <c r="H47" s="2481"/>
      <c r="I47" s="168"/>
      <c r="J47" s="2953">
        <v>2</v>
      </c>
      <c r="K47" s="3159" t="s">
        <v>2191</v>
      </c>
      <c r="L47" s="3159"/>
      <c r="M47" s="3180">
        <f>'数据-取费表'!B2</f>
        <v>43214</v>
      </c>
      <c r="N47" s="3180"/>
      <c r="O47" s="3180"/>
    </row>
    <row r="48" spans="1:15" ht="25.5">
      <c r="A48" s="3127" t="s">
        <v>2192</v>
      </c>
      <c r="B48" s="3110"/>
      <c r="C48" s="3110"/>
      <c r="D48" s="140">
        <f>IF(H48="情况1",0,IF(H48="情况2",D52,IF(H48="情况3",D53,IF(H48="情况4",D54))))</f>
        <v>0</v>
      </c>
      <c r="E48" s="2962" t="str">
        <f>IF(H48="情况4","(销售额-原购置价)×税（费）率","销售额×税（费）率")</f>
        <v>销售额×税（费）率</v>
      </c>
      <c r="F48" s="175" t="str">
        <f>IF(H48="情况1","免征",'数据-取费表'!B41)</f>
        <v>免征</v>
      </c>
      <c r="G48" s="2482" t="s">
        <v>2193</v>
      </c>
      <c r="H48" s="2483" t="s">
        <v>2194</v>
      </c>
      <c r="I48" s="2481"/>
      <c r="J48" s="2953">
        <v>3</v>
      </c>
      <c r="K48" s="3159" t="s">
        <v>2195</v>
      </c>
      <c r="L48" s="3159"/>
      <c r="M48" s="3181">
        <f ca="1">H101</f>
        <v>1701</v>
      </c>
      <c r="N48" s="3181"/>
      <c r="O48" s="3181"/>
    </row>
    <row r="49" spans="1:35" ht="25.5" customHeight="1">
      <c r="A49" s="176" t="s">
        <v>2196</v>
      </c>
      <c r="B49" s="3095" t="s">
        <v>2197</v>
      </c>
      <c r="C49" s="3095"/>
      <c r="D49" s="177">
        <v>0</v>
      </c>
      <c r="E49" s="23" t="s">
        <v>2198</v>
      </c>
      <c r="F49" s="28" t="s">
        <v>34</v>
      </c>
      <c r="G49" s="3165"/>
      <c r="H49" s="138"/>
      <c r="I49" s="2484"/>
      <c r="J49" s="2953">
        <v>4</v>
      </c>
      <c r="K49" s="3159" t="str">
        <f>IF(项目基本情况!E8="房地产抵押价值","房地产抵押价值","抵押担保权已注销时的房地产抵押价值")</f>
        <v>抵押担保权已注销时的房地产抵押价值</v>
      </c>
      <c r="L49" s="3159"/>
      <c r="M49" s="3181" t="str">
        <f>IF(项目基本情况!E8="房地产抵押价值",H107,H109)</f>
        <v>——</v>
      </c>
      <c r="N49" s="3181"/>
      <c r="O49" s="3181"/>
    </row>
    <row r="50" spans="1:35" ht="25.5" customHeight="1">
      <c r="A50" s="178"/>
      <c r="B50" s="3095" t="s">
        <v>2199</v>
      </c>
      <c r="C50" s="3095"/>
      <c r="D50" s="179"/>
      <c r="E50" s="31"/>
      <c r="F50" s="180"/>
      <c r="G50" s="3166"/>
      <c r="H50" s="138"/>
      <c r="I50" s="2484"/>
      <c r="J50" s="3159" t="s">
        <v>2200</v>
      </c>
      <c r="K50" s="3159"/>
      <c r="L50" s="3159"/>
      <c r="M50" s="3159"/>
      <c r="N50" s="3159"/>
      <c r="O50" s="3159"/>
    </row>
    <row r="51" spans="1:35" ht="12" customHeight="1">
      <c r="A51" s="181"/>
      <c r="B51" s="3095" t="s">
        <v>2201</v>
      </c>
      <c r="C51" s="3095"/>
      <c r="D51" s="182"/>
      <c r="E51" s="30"/>
      <c r="F51" s="180"/>
      <c r="G51" s="3167"/>
      <c r="H51" s="138"/>
      <c r="I51" s="2484"/>
      <c r="J51" s="2946" t="s">
        <v>2202</v>
      </c>
      <c r="K51" s="3159" t="s">
        <v>2203</v>
      </c>
      <c r="L51" s="3159"/>
      <c r="M51" s="2946" t="s">
        <v>2204</v>
      </c>
      <c r="N51" s="2946" t="s">
        <v>2205</v>
      </c>
      <c r="O51" s="2946" t="s">
        <v>2206</v>
      </c>
    </row>
    <row r="52" spans="1:35" ht="24" customHeight="1">
      <c r="A52" s="183" t="s">
        <v>2207</v>
      </c>
      <c r="B52" s="3095" t="s">
        <v>2208</v>
      </c>
      <c r="C52" s="3095"/>
      <c r="D52" s="182">
        <f ca="1">ROUND(D45*'数据-取费表'!B41/(1+'数据-取费表'!C42),0)</f>
        <v>91</v>
      </c>
      <c r="E52" s="11" t="s">
        <v>2209</v>
      </c>
      <c r="F52" s="184">
        <f>'数据-取费表'!B41</f>
        <v>5.6000000000000001E-2</v>
      </c>
      <c r="G52" s="2486"/>
      <c r="H52" s="138"/>
      <c r="I52" s="2484"/>
      <c r="J52" s="2953">
        <v>1</v>
      </c>
      <c r="K52" s="3160" t="s">
        <v>2210</v>
      </c>
      <c r="L52" s="3160"/>
      <c r="M52" s="1754">
        <f>D48</f>
        <v>0</v>
      </c>
      <c r="N52" s="2953" t="str">
        <f>E48</f>
        <v>销售额×税（费）率</v>
      </c>
      <c r="O52" s="1755" t="str">
        <f>F48</f>
        <v>免征</v>
      </c>
    </row>
    <row r="53" spans="1:35" ht="12" customHeight="1">
      <c r="A53" s="183" t="s">
        <v>2211</v>
      </c>
      <c r="B53" s="3118" t="s">
        <v>2212</v>
      </c>
      <c r="C53" s="3119"/>
      <c r="D53" s="182">
        <f ca="1">ROUND(D45*'数据-取费表'!B41/(1+'数据-取费表'!C42),0)</f>
        <v>91</v>
      </c>
      <c r="E53" s="11" t="s">
        <v>2209</v>
      </c>
      <c r="F53" s="184">
        <f>'数据-取费表'!B41</f>
        <v>5.6000000000000001E-2</v>
      </c>
      <c r="G53" s="2486"/>
      <c r="H53" s="138"/>
      <c r="I53" s="2484"/>
      <c r="J53" s="2953">
        <v>2</v>
      </c>
      <c r="K53" s="3160" t="s">
        <v>2213</v>
      </c>
      <c r="L53" s="3160"/>
      <c r="M53" s="1754">
        <f t="shared" ref="M53:O54" ca="1" si="0">D55</f>
        <v>1</v>
      </c>
      <c r="N53" s="2953" t="str">
        <f t="shared" si="0"/>
        <v>销售额×税（费）率</v>
      </c>
      <c r="O53" s="1755">
        <f t="shared" si="0"/>
        <v>5.0000000000000001E-4</v>
      </c>
    </row>
    <row r="54" spans="1:35" ht="12" customHeight="1">
      <c r="A54" s="183" t="s">
        <v>2214</v>
      </c>
      <c r="B54" s="3118" t="s">
        <v>2215</v>
      </c>
      <c r="C54" s="3119"/>
      <c r="D54" s="182">
        <f ca="1">C68</f>
        <v>91</v>
      </c>
      <c r="E54" s="30" t="s">
        <v>2216</v>
      </c>
      <c r="F54" s="184">
        <f>'数据-取费表'!B41</f>
        <v>5.6000000000000001E-2</v>
      </c>
      <c r="G54" s="2486"/>
      <c r="H54" s="2487"/>
      <c r="I54" s="2484"/>
      <c r="J54" s="2953">
        <v>3</v>
      </c>
      <c r="K54" s="3160" t="s">
        <v>2217</v>
      </c>
      <c r="L54" s="3160"/>
      <c r="M54" s="1754">
        <f t="shared" ca="1" si="0"/>
        <v>963</v>
      </c>
      <c r="N54" s="2953" t="str">
        <f t="shared" si="0"/>
        <v>增值额×税（费）率</v>
      </c>
      <c r="O54" s="1756" t="str">
        <f t="shared" si="0"/>
        <v>——</v>
      </c>
    </row>
    <row r="55" spans="1:35" ht="24" customHeight="1">
      <c r="A55" s="3109" t="s">
        <v>2218</v>
      </c>
      <c r="B55" s="3110"/>
      <c r="C55" s="3110"/>
      <c r="D55" s="185">
        <f ca="1">IF(H55="个人住宅",0,ROUND(D45*I55,0))</f>
        <v>1</v>
      </c>
      <c r="E55" s="11" t="s">
        <v>2219</v>
      </c>
      <c r="F55" s="184">
        <f>IF(H55="正常",I55,"免征")</f>
        <v>5.0000000000000001E-4</v>
      </c>
      <c r="G55" s="2486"/>
      <c r="H55" s="2483" t="s">
        <v>2220</v>
      </c>
      <c r="I55" s="186">
        <f>'数据-取费表'!B49</f>
        <v>5.0000000000000001E-4</v>
      </c>
      <c r="J55" s="2953" t="str">
        <f>IF(H59="非个人房产","",4)</f>
        <v/>
      </c>
      <c r="K55" s="3160" t="str">
        <f>IF(H59="非个人房产","——","个人所得税")</f>
        <v>——</v>
      </c>
      <c r="L55" s="3160"/>
      <c r="M55" s="1757" t="str">
        <f>D59</f>
        <v>——</v>
      </c>
      <c r="N55" s="2954" t="str">
        <f>E59</f>
        <v>——</v>
      </c>
      <c r="O55" s="1758" t="str">
        <f>F59</f>
        <v>——</v>
      </c>
    </row>
    <row r="56" spans="1:35" ht="24.75">
      <c r="A56" s="3109" t="s">
        <v>2221</v>
      </c>
      <c r="B56" s="3110"/>
      <c r="C56" s="3110"/>
      <c r="D56" s="185">
        <f ca="1">IF(H56="个人住宅",D57,D58)</f>
        <v>963</v>
      </c>
      <c r="E56" s="11" t="s">
        <v>2222</v>
      </c>
      <c r="F56" s="184" t="str">
        <f>IF(H56="正常",F58,"免征")</f>
        <v>——</v>
      </c>
      <c r="G56" s="2488" t="s">
        <v>2223</v>
      </c>
      <c r="H56" s="2489" t="s">
        <v>2220</v>
      </c>
      <c r="I56" s="2490"/>
      <c r="J56" s="2953" t="str">
        <f>IF(项目基本情况!K6="上海银行",IF(J55="",4,J55+1),"")</f>
        <v/>
      </c>
      <c r="K56" s="3183" t="str">
        <f>IF(项目基本情况!K6="上海银行","其他处置费用","")</f>
        <v/>
      </c>
      <c r="L56" s="3184"/>
      <c r="M56" s="1754" t="str">
        <f>IF(项目基本情况!K6="上海银行",M69,"")</f>
        <v/>
      </c>
      <c r="N56" s="3186" t="str">
        <f>IF(项目基本情况!K6="上海银行","包含处置中涉及的律师、诉讼、拍卖、评估等费用","")</f>
        <v/>
      </c>
      <c r="O56" s="3187"/>
    </row>
    <row r="57" spans="1:35" ht="12.75">
      <c r="A57" s="183" t="s">
        <v>2196</v>
      </c>
      <c r="B57" s="3125" t="s">
        <v>2224</v>
      </c>
      <c r="C57" s="3134"/>
      <c r="D57" s="187">
        <v>0</v>
      </c>
      <c r="E57" s="23" t="s">
        <v>2198</v>
      </c>
      <c r="F57" s="155"/>
      <c r="G57" s="2486"/>
      <c r="H57" s="2490"/>
      <c r="I57" s="2490"/>
      <c r="J57" s="3160">
        <f>IF(AND(J55="",J56=""),4,IF(项目基本情况!K6="上海银行",'结果表-办公'!J56+1,'结果表-办公'!J55+1))</f>
        <v>4</v>
      </c>
      <c r="K57" s="3160" t="s">
        <v>2225</v>
      </c>
      <c r="L57" s="2491" t="s">
        <v>2226</v>
      </c>
      <c r="M57" s="1759"/>
      <c r="N57" s="1760">
        <f ca="1">SUMIF(M52:M56,"&lt;9e307")</f>
        <v>964</v>
      </c>
      <c r="O57" s="2492"/>
      <c r="P57" s="1753" t="e">
        <f ca="1">N57/M49</f>
        <v>#VALUE!</v>
      </c>
    </row>
    <row r="58" spans="1:35" ht="24.75">
      <c r="A58" s="183" t="s">
        <v>2207</v>
      </c>
      <c r="B58" s="3125" t="s">
        <v>2227</v>
      </c>
      <c r="C58" s="3126"/>
      <c r="D58" s="185">
        <f ca="1">IF(H58="转让取得",C81,C97)</f>
        <v>963</v>
      </c>
      <c r="E58" s="11" t="s">
        <v>2222</v>
      </c>
      <c r="F58" s="24" t="s">
        <v>34</v>
      </c>
      <c r="G58" s="2486"/>
      <c r="H58" s="2489" t="s">
        <v>2228</v>
      </c>
      <c r="I58" s="2490"/>
      <c r="J58" s="3160"/>
      <c r="K58" s="3160"/>
      <c r="L58" s="2491" t="s">
        <v>2229</v>
      </c>
      <c r="M58" s="1761"/>
      <c r="N58" s="2493" t="str">
        <f ca="1">NUMBERSTRING(INT(N57*10000),2)&amp;"元整"</f>
        <v>玖佰陆拾肆万元整</v>
      </c>
      <c r="O58" s="2494"/>
    </row>
    <row r="59" spans="1:35" ht="24.75" thickBot="1">
      <c r="A59" s="3163" t="s">
        <v>2230</v>
      </c>
      <c r="B59" s="3164"/>
      <c r="C59" s="3164"/>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61">
        <f>J57+1</f>
        <v>5</v>
      </c>
      <c r="K59" s="3160" t="s">
        <v>2232</v>
      </c>
      <c r="L59" s="2953" t="s">
        <v>2226</v>
      </c>
      <c r="M59" s="1762"/>
      <c r="N59" s="1763" t="e">
        <f ca="1">M49-N57</f>
        <v>#VALUE!</v>
      </c>
      <c r="O59" s="2496"/>
    </row>
    <row r="60" spans="1:35" ht="12" customHeight="1">
      <c r="A60" s="2497"/>
      <c r="B60" s="2419"/>
      <c r="C60" s="2419"/>
      <c r="D60" s="2419"/>
      <c r="E60" s="2167"/>
      <c r="F60" s="2490"/>
      <c r="G60" s="2490"/>
      <c r="H60" s="2498"/>
      <c r="I60" s="138"/>
      <c r="J60" s="3162"/>
      <c r="K60" s="3160"/>
      <c r="L60" s="2491" t="s">
        <v>2229</v>
      </c>
      <c r="M60" s="1761"/>
      <c r="N60" s="2493" t="e">
        <f ca="1">NUMBERSTRING(INT(N59*10000),2)&amp;"元整"</f>
        <v>#VALUE!</v>
      </c>
      <c r="O60" s="2494"/>
    </row>
    <row r="61" spans="1:35" ht="13.5" thickBot="1">
      <c r="A61" s="3107" t="s">
        <v>2233</v>
      </c>
      <c r="B61" s="3107"/>
      <c r="C61" s="3107"/>
      <c r="D61" s="3107"/>
      <c r="E61" s="3107"/>
      <c r="F61" s="2490"/>
      <c r="G61" s="2490"/>
      <c r="H61" s="2498"/>
      <c r="I61" s="138"/>
      <c r="J61" s="2953">
        <f>J59+1</f>
        <v>6</v>
      </c>
      <c r="K61" s="3160" t="s">
        <v>2234</v>
      </c>
      <c r="L61" s="3160"/>
      <c r="M61" s="1764"/>
      <c r="N61" s="1765" t="e">
        <f ca="1">ROUND(N59*10000/'数据-汇总表'!E3,0)</f>
        <v>#VALUE!</v>
      </c>
      <c r="O61" s="2499"/>
    </row>
    <row r="62" spans="1:35" ht="12.75">
      <c r="A62" s="3123" t="s">
        <v>2235</v>
      </c>
      <c r="B62" s="3124"/>
      <c r="C62" s="2958"/>
      <c r="D62" s="2958" t="s">
        <v>2236</v>
      </c>
      <c r="E62" s="192" t="s">
        <v>2237</v>
      </c>
      <c r="F62" s="2490"/>
      <c r="G62" s="2490"/>
      <c r="H62" s="2498"/>
      <c r="I62" s="138"/>
    </row>
    <row r="63" spans="1:35" ht="12.75">
      <c r="A63" s="203" t="s">
        <v>775</v>
      </c>
      <c r="B63" s="193" t="s">
        <v>2238</v>
      </c>
      <c r="C63" s="194">
        <f ca="1">ROUND((C64+C65)/(1+'数据-取费表'!C42),0)</f>
        <v>1620</v>
      </c>
      <c r="D63" s="195"/>
      <c r="E63" s="196"/>
      <c r="F63" s="2490"/>
      <c r="G63" s="2490"/>
      <c r="H63" s="2498"/>
      <c r="I63" s="138"/>
      <c r="J63" s="3185" t="s">
        <v>2239</v>
      </c>
      <c r="K63" s="2949"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1701</v>
      </c>
      <c r="D64" s="200" t="s">
        <v>32</v>
      </c>
      <c r="E64" s="201"/>
      <c r="F64" s="2490"/>
      <c r="G64" s="2490"/>
      <c r="H64" s="2498"/>
      <c r="I64" s="138"/>
      <c r="J64" s="3185"/>
      <c r="K64" s="2949"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85"/>
      <c r="K65" s="2949"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85"/>
      <c r="K66" s="2949" t="s">
        <v>2247</v>
      </c>
      <c r="L66" s="1752" t="e">
        <f>M49*0.5%</f>
        <v>#VALUE!</v>
      </c>
      <c r="M66" s="24" t="e">
        <f>IF(L66&gt;0.5,0.5,ROUND(L66,0))</f>
        <v>#VALUE!</v>
      </c>
      <c r="N66" s="138" t="s">
        <v>2248</v>
      </c>
      <c r="Z66" s="2424"/>
      <c r="AI66" s="2425"/>
    </row>
    <row r="67" spans="1:35" ht="14.25" customHeight="1">
      <c r="A67" s="203" t="s">
        <v>773</v>
      </c>
      <c r="B67" s="204" t="s">
        <v>2249</v>
      </c>
      <c r="C67" s="207">
        <f ca="1">C63-C66</f>
        <v>1620</v>
      </c>
      <c r="D67" s="200" t="s">
        <v>32</v>
      </c>
      <c r="E67" s="201"/>
      <c r="F67" s="2490"/>
      <c r="G67" s="2490"/>
      <c r="H67" s="2498"/>
      <c r="I67" s="138"/>
      <c r="J67" s="3185"/>
      <c r="K67" s="2949"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91</v>
      </c>
      <c r="D68" s="211">
        <f>'数据-取费表'!B41</f>
        <v>5.6000000000000001E-2</v>
      </c>
      <c r="E68" s="212"/>
      <c r="F68" s="2490"/>
      <c r="G68" s="2490"/>
      <c r="H68" s="2498"/>
      <c r="I68" s="138"/>
      <c r="J68" s="3185"/>
      <c r="K68" s="2949"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85"/>
      <c r="K69" s="2949"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4" t="s">
        <v>2254</v>
      </c>
      <c r="B70" s="3145"/>
      <c r="C70" s="3145"/>
      <c r="D70" s="3145"/>
      <c r="E70" s="3145"/>
      <c r="F70" s="3145"/>
      <c r="G70" s="3145"/>
      <c r="H70" s="314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3" t="s">
        <v>2235</v>
      </c>
      <c r="B71" s="3124"/>
      <c r="C71" s="2958"/>
      <c r="D71" s="2958"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1620</v>
      </c>
      <c r="D72" s="200" t="s">
        <v>32</v>
      </c>
      <c r="E72" s="2960"/>
      <c r="F72" s="2959"/>
      <c r="G72" s="2959"/>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2960"/>
      <c r="F73" s="2959"/>
      <c r="G73" s="2959"/>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2960"/>
      <c r="F74" s="2959"/>
      <c r="G74" s="2959"/>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18" t="s">
        <v>2263</v>
      </c>
      <c r="F76" s="3095"/>
      <c r="G76" s="3095"/>
      <c r="H76" s="314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2950" t="s">
        <v>2265</v>
      </c>
      <c r="F77" s="224"/>
      <c r="G77" s="2514" t="s">
        <v>2266</v>
      </c>
      <c r="H77" s="2961"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6.000000000000001E-3</v>
      </c>
      <c r="E78" s="3104" t="s">
        <v>2268</v>
      </c>
      <c r="F78" s="3105"/>
      <c r="G78" s="3105"/>
      <c r="H78" s="311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2269</v>
      </c>
      <c r="C79" s="207">
        <f ca="1">C72-C73</f>
        <v>1610</v>
      </c>
      <c r="D79" s="200" t="s">
        <v>32</v>
      </c>
      <c r="E79" s="2960"/>
      <c r="F79" s="2959"/>
      <c r="G79" s="2959"/>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161</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963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4" t="s">
        <v>2272</v>
      </c>
      <c r="B83" s="3145"/>
      <c r="C83" s="3145"/>
      <c r="D83" s="3145"/>
      <c r="E83" s="3145"/>
      <c r="F83" s="3145"/>
      <c r="G83" s="3145"/>
      <c r="H83" s="314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3" t="s">
        <v>2235</v>
      </c>
      <c r="B84" s="3124"/>
      <c r="C84" s="2958"/>
      <c r="D84" s="2958"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1620</v>
      </c>
      <c r="D85" s="200" t="s">
        <v>32</v>
      </c>
      <c r="E85" s="2960"/>
      <c r="F85" s="2959"/>
      <c r="G85" s="2959"/>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2960"/>
      <c r="F86" s="2959"/>
      <c r="G86" s="2959"/>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2955"/>
      <c r="F87" s="2956"/>
      <c r="G87" s="2956"/>
      <c r="H87" s="2957"/>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2956"/>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2956"/>
      <c r="G89" s="2956"/>
      <c r="H89" s="2957"/>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2956"/>
      <c r="G90" s="2956"/>
      <c r="H90" s="2957"/>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04" t="s">
        <v>2281</v>
      </c>
      <c r="F91" s="3105"/>
      <c r="G91" s="310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04" t="s">
        <v>2285</v>
      </c>
      <c r="F92" s="3105"/>
      <c r="G92" s="3105"/>
      <c r="H92" s="311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6.000000000000001E-3</v>
      </c>
      <c r="E93" s="3104" t="s">
        <v>2268</v>
      </c>
      <c r="F93" s="3105"/>
      <c r="G93" s="3105"/>
      <c r="H93" s="311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15" t="s">
        <v>2289</v>
      </c>
      <c r="F94" s="3116"/>
      <c r="G94" s="3116"/>
      <c r="H94" s="311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2269</v>
      </c>
      <c r="C95" s="207">
        <f ca="1">ROUND(C85-C86,0)</f>
        <v>1610</v>
      </c>
      <c r="D95" s="200" t="s">
        <v>32</v>
      </c>
      <c r="E95" s="2960"/>
      <c r="F95" s="2959"/>
      <c r="G95" s="2959"/>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161</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963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9" t="s">
        <v>2291</v>
      </c>
      <c r="B100" s="3090"/>
      <c r="C100" s="3090"/>
      <c r="D100" s="3106"/>
      <c r="E100" s="3090" t="s">
        <v>2292</v>
      </c>
      <c r="F100" s="3090"/>
      <c r="G100" s="3090"/>
      <c r="H100" s="3106"/>
      <c r="I100" s="138"/>
    </row>
    <row r="101" spans="1:35" ht="18.75" customHeight="1">
      <c r="A101" s="3168" t="s">
        <v>2293</v>
      </c>
      <c r="B101" s="3169"/>
      <c r="C101" s="736" t="str">
        <f>C4</f>
        <v>比较法-办公</v>
      </c>
      <c r="D101" s="737" t="str">
        <f>D4</f>
        <v>收益法 (元) 办公</v>
      </c>
      <c r="E101" s="3182" t="s">
        <v>2294</v>
      </c>
      <c r="F101" s="3136"/>
      <c r="G101" s="2521" t="s">
        <v>2295</v>
      </c>
      <c r="H101" s="1048">
        <f ca="1">H118</f>
        <v>1701</v>
      </c>
      <c r="I101" s="138"/>
    </row>
    <row r="102" spans="1:35" ht="18.75" customHeight="1">
      <c r="A102" s="3138" t="s">
        <v>2296</v>
      </c>
      <c r="B102" s="2521" t="s">
        <v>2295</v>
      </c>
      <c r="C102" s="736">
        <f ca="1">C19</f>
        <v>1816</v>
      </c>
      <c r="D102" s="737">
        <f ca="1">D19</f>
        <v>1586</v>
      </c>
      <c r="E102" s="3182"/>
      <c r="F102" s="3136"/>
      <c r="G102" s="2521" t="s">
        <v>2297</v>
      </c>
      <c r="H102" s="371">
        <f ca="1">I118</f>
        <v>7413</v>
      </c>
      <c r="I102" s="138"/>
    </row>
    <row r="103" spans="1:35" ht="42.75" customHeight="1">
      <c r="A103" s="3138"/>
      <c r="B103" s="2521" t="s">
        <v>2297</v>
      </c>
      <c r="C103" s="738">
        <f ca="1">C20</f>
        <v>7914</v>
      </c>
      <c r="D103" s="739">
        <f ca="1">D20</f>
        <v>6910</v>
      </c>
      <c r="E103" s="3177" t="s">
        <v>2298</v>
      </c>
      <c r="F103" s="3178"/>
      <c r="G103" s="2522" t="s">
        <v>2299</v>
      </c>
      <c r="H103" s="1048">
        <f>IF(D36="正常操作",H104+H105+H106,H105+H106)</f>
        <v>0</v>
      </c>
      <c r="I103" s="138"/>
    </row>
    <row r="104" spans="1:35" ht="18.75" customHeight="1">
      <c r="A104" s="3138" t="s">
        <v>2300</v>
      </c>
      <c r="B104" s="2523" t="s">
        <v>2295</v>
      </c>
      <c r="C104" s="740">
        <f ca="1">H118</f>
        <v>1701</v>
      </c>
      <c r="D104" s="741"/>
      <c r="E104" s="2268" t="s">
        <v>2301</v>
      </c>
      <c r="F104" s="2259"/>
      <c r="G104" s="2522" t="s">
        <v>2299</v>
      </c>
      <c r="H104" s="1049">
        <f>IF(D36="同一抵押权人同一抵押物续贷",C36&amp;"（未扣减，详见特别提示）",C36)</f>
        <v>0</v>
      </c>
      <c r="I104" s="138"/>
    </row>
    <row r="105" spans="1:35" ht="18.75" customHeight="1" thickBot="1">
      <c r="A105" s="3139"/>
      <c r="B105" s="2524" t="s">
        <v>2297</v>
      </c>
      <c r="C105" s="742">
        <f ca="1">I118</f>
        <v>7413</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35" t="str">
        <f>IF(项目基本情况!E8="已注销","——","3.房地产抵押价值")</f>
        <v>3.房地产抵押价值</v>
      </c>
      <c r="F107" s="3136"/>
      <c r="G107" s="2521" t="s">
        <v>2295</v>
      </c>
      <c r="H107" s="1048">
        <f ca="1">IF(E107="——","——",H101-H103)</f>
        <v>1701</v>
      </c>
      <c r="I107" s="138"/>
    </row>
    <row r="108" spans="1:35" ht="18.75" customHeight="1">
      <c r="A108" s="138"/>
      <c r="B108" s="138"/>
      <c r="C108" s="138"/>
      <c r="D108" s="138"/>
      <c r="E108" s="3135"/>
      <c r="F108" s="3136"/>
      <c r="G108" s="2521" t="s">
        <v>2297</v>
      </c>
      <c r="H108" s="371">
        <f ca="1">ROUND(H107*10000/'数据-汇总表'!E3,0)</f>
        <v>6432</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21" t="s">
        <v>2295</v>
      </c>
      <c r="H109" s="348" t="str">
        <f>IF(E109="——","——",H101-H105-H106)</f>
        <v>——</v>
      </c>
      <c r="I109" s="138"/>
    </row>
    <row r="110" spans="1:35" ht="18.75" customHeight="1">
      <c r="A110" s="138"/>
      <c r="B110" s="138"/>
      <c r="C110" s="138"/>
      <c r="D110" s="138"/>
      <c r="E110" s="3135"/>
      <c r="F110" s="3136"/>
      <c r="G110" s="2521" t="s">
        <v>2297</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21" t="s">
        <v>2295</v>
      </c>
      <c r="H111" s="1048" t="str">
        <f>IF(E111="——","——",N59)</f>
        <v>——</v>
      </c>
      <c r="I111" s="138"/>
    </row>
    <row r="112" spans="1:35" ht="18.75" customHeight="1" thickBot="1">
      <c r="A112" s="138"/>
      <c r="B112" s="138"/>
      <c r="C112" s="138"/>
      <c r="D112" s="138"/>
      <c r="E112" s="3172"/>
      <c r="F112" s="3173"/>
      <c r="G112" s="2526" t="s">
        <v>2297</v>
      </c>
      <c r="H112" s="790" t="str">
        <f>IF(E111="——","——",N61)</f>
        <v>——</v>
      </c>
      <c r="I112" s="138"/>
    </row>
    <row r="113" spans="1:11" ht="18.75" customHeight="1">
      <c r="A113" s="138"/>
      <c r="B113" s="138"/>
      <c r="C113" s="138"/>
      <c r="D113" s="138"/>
      <c r="E113" s="3140" t="s">
        <v>2303</v>
      </c>
      <c r="F113" s="3140"/>
      <c r="G113" s="3140"/>
      <c r="H113" s="3140"/>
      <c r="I113" s="138"/>
    </row>
    <row r="114" spans="1:11" ht="3.75" customHeight="1">
      <c r="A114" s="2419"/>
      <c r="B114" s="2419"/>
      <c r="C114" s="2419"/>
      <c r="D114" s="2419"/>
      <c r="E114" s="2497"/>
      <c r="F114" s="2497"/>
      <c r="G114" s="2497"/>
      <c r="H114" s="2497"/>
      <c r="I114" s="2419"/>
    </row>
    <row r="115" spans="1:11" ht="18.75" customHeight="1">
      <c r="A115" s="3153" t="s">
        <v>2305</v>
      </c>
      <c r="B115" s="3154"/>
      <c r="C115" s="3154"/>
      <c r="D115" s="3154"/>
      <c r="E115" s="3154"/>
      <c r="F115" s="3154"/>
      <c r="G115" s="3154"/>
      <c r="H115" s="3154"/>
      <c r="I115" s="3155"/>
    </row>
    <row r="116" spans="1:11" ht="27" customHeight="1">
      <c r="A116" s="3046" t="s">
        <v>2306</v>
      </c>
      <c r="B116" s="3141" t="s">
        <v>2307</v>
      </c>
      <c r="C116" s="3141" t="s">
        <v>2308</v>
      </c>
      <c r="D116" s="3157" t="s">
        <v>2309</v>
      </c>
      <c r="E116" s="3158"/>
      <c r="F116" s="3149" t="s">
        <v>2310</v>
      </c>
      <c r="G116" s="3149"/>
      <c r="H116" s="3046" t="s">
        <v>2311</v>
      </c>
      <c r="I116" s="3046"/>
    </row>
    <row r="117" spans="1:11" ht="18.75" customHeight="1">
      <c r="A117" s="3046"/>
      <c r="B117" s="3142"/>
      <c r="C117" s="3142"/>
      <c r="D117" s="2945" t="s">
        <v>2312</v>
      </c>
      <c r="E117" s="2945" t="s">
        <v>2313</v>
      </c>
      <c r="F117" s="2945" t="s">
        <v>2312</v>
      </c>
      <c r="G117" s="2945" t="s">
        <v>2314</v>
      </c>
      <c r="H117" s="2945" t="s">
        <v>2312</v>
      </c>
      <c r="I117" s="2945" t="s">
        <v>2314</v>
      </c>
    </row>
    <row r="118" spans="1:11" ht="24.75" customHeight="1">
      <c r="A118" s="2527" t="str">
        <f>项目基本情况!S2</f>
        <v>新疆省昌吉市延安南路46号小区房地产</v>
      </c>
      <c r="B118" s="2945">
        <f>M18</f>
        <v>2294.6900000000005</v>
      </c>
      <c r="C118" s="2945">
        <f>M19</f>
        <v>587.04</v>
      </c>
      <c r="D118" s="2945">
        <f ca="1">ROUND(IF(D32="总价",C34,E118*B118/10000),0)</f>
        <v>54</v>
      </c>
      <c r="E118" s="2945">
        <f ca="1">ROUND(IF(C33="自定义",IF(D32="楼面单价",C34,D118*10000/B118),I118-G118),0)</f>
        <v>236</v>
      </c>
      <c r="F118" s="2945">
        <f ca="1">ROUND(IF(D32="总价",C35,G118*B118/10000),0)</f>
        <v>1647</v>
      </c>
      <c r="G118" s="2945">
        <f ca="1">ROUND(IF(D32="楼面单价",C35,F118*10000/B118),0)</f>
        <v>7177</v>
      </c>
      <c r="H118" s="2945">
        <f ca="1">ROUND(IF(D32="总价",C32,I118*B118/10000),0)</f>
        <v>1701</v>
      </c>
      <c r="I118" s="2945">
        <f ca="1">ROUND(IF(D32="楼面单价",C32,H118*10000/B118),0)</f>
        <v>7413</v>
      </c>
    </row>
    <row r="119" spans="1:11" ht="18.75" customHeight="1">
      <c r="A119" s="3046" t="s">
        <v>2315</v>
      </c>
      <c r="B119" s="3046"/>
      <c r="C119" s="3046"/>
      <c r="D119" s="3146" t="str">
        <f ca="1">NUMBERSTRING(INT(D118*10000),2)&amp;"元整"</f>
        <v>伍拾肆万元整</v>
      </c>
      <c r="E119" s="3148"/>
      <c r="F119" s="3146" t="str">
        <f ca="1">NUMBERSTRING(INT(F118*10000),2)&amp;"元整"</f>
        <v>壹仟陆佰肆拾柒万元整</v>
      </c>
      <c r="G119" s="3148"/>
      <c r="H119" s="3146" t="str">
        <f ca="1">NUMBERSTRING(INT(H118*10000),2)&amp;"元整"</f>
        <v>壹仟柒佰零壹万元整</v>
      </c>
      <c r="I119" s="3148"/>
    </row>
    <row r="120" spans="1:11" ht="18.75" customHeight="1">
      <c r="A120" s="3174" t="str">
        <f>IF(项目基本情况!B9="房地产市场价值","",MID(E103,3,LEN(E103)-2))</f>
        <v/>
      </c>
      <c r="B120" s="3175"/>
      <c r="C120" s="3176"/>
      <c r="D120" s="3174">
        <f>H103</f>
        <v>0</v>
      </c>
      <c r="E120" s="3175"/>
      <c r="F120" s="3175"/>
      <c r="G120" s="3175"/>
      <c r="H120" s="3175"/>
      <c r="I120" s="3176"/>
      <c r="K120" s="2424" t="str">
        <f>IF(D120=0,"故，本次评估不存在"&amp;A120,"故，本次评估"&amp;A120&amp;"为人民币"&amp;D120&amp;"万元整。")</f>
        <v>故，本次评估不存在</v>
      </c>
    </row>
    <row r="121" spans="1:11" ht="18.75" customHeight="1">
      <c r="A121" s="3150" t="s">
        <v>2315</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
      </c>
      <c r="B122" s="3137"/>
      <c r="C122" s="3137"/>
      <c r="D122" s="3174">
        <f ca="1">H107</f>
        <v>1701</v>
      </c>
      <c r="E122" s="3175"/>
      <c r="F122" s="3175"/>
      <c r="G122" s="3175"/>
      <c r="H122" s="3175"/>
      <c r="I122" s="3176"/>
    </row>
    <row r="123" spans="1:11" ht="18.75" customHeight="1">
      <c r="A123" s="3046" t="s">
        <v>2315</v>
      </c>
      <c r="B123" s="3046"/>
      <c r="C123" s="3046"/>
      <c r="D123" s="3146" t="str">
        <f ca="1">NUMBERSTRING(INT(D122*10000),2)&amp;"元整"</f>
        <v>壹仟柒佰零壹万元整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2315</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2315</v>
      </c>
      <c r="B127" s="3046"/>
      <c r="C127" s="3046"/>
      <c r="D127" s="3146" t="e">
        <f>NUMBERSTRING(INT(D126*10000),2)&amp;"元整"</f>
        <v>#VALUE!</v>
      </c>
      <c r="E127" s="3147"/>
      <c r="F127" s="3147"/>
      <c r="G127" s="3147"/>
      <c r="H127" s="3147"/>
      <c r="I127" s="3148"/>
    </row>
    <row r="128" spans="1:11" ht="21.75" customHeight="1">
      <c r="A128" s="3156" t="s">
        <v>2316</v>
      </c>
      <c r="B128" s="3156"/>
      <c r="C128" s="3156"/>
      <c r="D128" s="3156"/>
      <c r="E128" s="3156"/>
      <c r="F128" s="3156"/>
      <c r="G128" s="3156"/>
      <c r="H128" s="3156"/>
      <c r="I128" s="3156"/>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7" sqref="E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t="s">
        <v>3066</v>
      </c>
      <c r="E1" s="2660"/>
      <c r="F1" s="2587" t="s">
        <v>3071</v>
      </c>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f>IF(C2="——",ROUND(C49*D3/10000,0),ROUND(C49*D3/10000,0)-D2)</f>
        <v>916</v>
      </c>
      <c r="C2" s="2589" t="s">
        <v>70</v>
      </c>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f>IF(C2="——",C49,ROUND(B2*10000/D3,0))</f>
        <v>26170</v>
      </c>
      <c r="C3" s="400" t="s">
        <v>2642</v>
      </c>
      <c r="D3" s="399">
        <f>IF(D1="",'数据-汇总表'!E3,SUMIF('数据-汇总表'!$C19:$C33,D1,'数据-汇总表'!$E19:$E33))</f>
        <v>349.87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0" t="s">
        <v>2646</v>
      </c>
      <c r="AC4" s="3212" t="s">
        <v>2647</v>
      </c>
    </row>
    <row r="5" spans="1:29" ht="15">
      <c r="A5" s="404"/>
      <c r="B5" s="405"/>
      <c r="C5" s="3233" t="s">
        <v>3083</v>
      </c>
      <c r="D5" s="3234"/>
      <c r="E5" s="3240" t="s">
        <v>3085</v>
      </c>
      <c r="F5" s="3241"/>
      <c r="G5" s="3233" t="s">
        <v>3084</v>
      </c>
      <c r="H5" s="3234"/>
      <c r="I5" s="3233" t="s">
        <v>3117</v>
      </c>
      <c r="J5" s="3234"/>
      <c r="K5" s="610"/>
      <c r="L5" s="1133"/>
      <c r="M5" s="1134"/>
      <c r="N5" s="1134"/>
      <c r="O5" s="1134"/>
      <c r="P5" s="3221"/>
      <c r="Q5" s="3222"/>
      <c r="R5" s="3227"/>
      <c r="S5" s="3228"/>
      <c r="T5" s="3227"/>
      <c r="U5" s="3228"/>
      <c r="V5" s="3210"/>
      <c r="W5" s="3210"/>
      <c r="X5" s="1816"/>
      <c r="Y5" s="3227"/>
      <c r="Z5" s="3228"/>
      <c r="AA5" s="3213"/>
      <c r="AB5" s="3210"/>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0"/>
      <c r="AC6" s="3214"/>
    </row>
    <row r="7" spans="1:29" s="117" customFormat="1" ht="15.75" thickBot="1">
      <c r="A7" s="408" t="s">
        <v>2546</v>
      </c>
      <c r="B7" s="409"/>
      <c r="C7" s="410">
        <f>'数据-取费表'!B2</f>
        <v>43214</v>
      </c>
      <c r="D7" s="411">
        <v>100</v>
      </c>
      <c r="E7" s="412">
        <v>43191</v>
      </c>
      <c r="F7" s="413">
        <f>SUMIF(58:58,YEAR(E7)&amp;"-"&amp;MONTH(E7),59:59)</f>
        <v>100</v>
      </c>
      <c r="G7" s="412">
        <v>43191</v>
      </c>
      <c r="H7" s="411">
        <f>SUMIF(58:58,YEAR(G7)&amp;"-"&amp;MONTH(G7),59:59)</f>
        <v>100</v>
      </c>
      <c r="I7" s="412">
        <v>43191</v>
      </c>
      <c r="J7" s="411">
        <f>SUMIF(58:58,YEAR(I7)&amp;"-"&amp;MONTH(I7),59:59)</f>
        <v>100</v>
      </c>
      <c r="K7" s="611"/>
      <c r="L7" s="1135"/>
      <c r="M7" s="1136"/>
      <c r="N7" s="1136"/>
      <c r="O7" s="1136"/>
      <c r="P7" s="3235" t="s">
        <v>2547</v>
      </c>
      <c r="Q7" s="3237"/>
      <c r="R7" s="770" t="s">
        <v>17</v>
      </c>
      <c r="S7" s="771">
        <f t="shared" ref="S7:S15" si="0">F7</f>
        <v>100</v>
      </c>
      <c r="T7" s="770" t="s">
        <v>17</v>
      </c>
      <c r="U7" s="771">
        <f t="shared" ref="U7:U15" si="1">H7</f>
        <v>100</v>
      </c>
      <c r="V7" s="770" t="s">
        <v>17</v>
      </c>
      <c r="W7" s="771">
        <f t="shared" ref="W7:W15" si="2">J7</f>
        <v>100</v>
      </c>
      <c r="X7" s="772"/>
      <c r="Y7" s="3235" t="s">
        <v>2547</v>
      </c>
      <c r="Z7" s="3236"/>
      <c r="AA7" s="773">
        <f>D7/F7</f>
        <v>1</v>
      </c>
      <c r="AB7" s="773">
        <f>D7/H7</f>
        <v>1</v>
      </c>
      <c r="AC7" s="773">
        <f>D7/J7</f>
        <v>1</v>
      </c>
    </row>
    <row r="8" spans="1:29" s="117" customFormat="1" ht="15.75" thickBot="1">
      <c r="A8" s="408" t="s">
        <v>2548</v>
      </c>
      <c r="B8" s="409"/>
      <c r="C8" s="414" t="s">
        <v>2650</v>
      </c>
      <c r="D8" s="411">
        <v>100</v>
      </c>
      <c r="E8" s="2968" t="s">
        <v>3072</v>
      </c>
      <c r="F8" s="413">
        <f>SUMIF(61:61,E8,62:62)-SUMIF(61:61,C8,62:62)+100</f>
        <v>100</v>
      </c>
      <c r="G8" s="2968" t="s">
        <v>3072</v>
      </c>
      <c r="H8" s="411">
        <f>SUMIF(61:61,G8,62:62)-SUMIF(61:61,C8,62:62)+100</f>
        <v>100</v>
      </c>
      <c r="I8" s="2968" t="s">
        <v>3072</v>
      </c>
      <c r="J8" s="411">
        <f>SUMIF(61:61,I8,62:62)-SUMIF(61:61,C8,62:62)+100</f>
        <v>100</v>
      </c>
      <c r="K8" s="611"/>
      <c r="L8" s="1135"/>
      <c r="M8" s="1136"/>
      <c r="N8" s="1136"/>
      <c r="O8" s="1136"/>
      <c r="P8" s="3235" t="s">
        <v>2550</v>
      </c>
      <c r="Q8" s="3236"/>
      <c r="R8" s="770" t="s">
        <v>17</v>
      </c>
      <c r="S8" s="771">
        <f t="shared" si="0"/>
        <v>100</v>
      </c>
      <c r="T8" s="770" t="s">
        <v>17</v>
      </c>
      <c r="U8" s="771">
        <f t="shared" si="1"/>
        <v>100</v>
      </c>
      <c r="V8" s="770" t="s">
        <v>17</v>
      </c>
      <c r="W8" s="771">
        <f t="shared" si="2"/>
        <v>100</v>
      </c>
      <c r="X8" s="772"/>
      <c r="Y8" s="3235" t="s">
        <v>2550</v>
      </c>
      <c r="Z8" s="3236"/>
      <c r="AA8" s="773">
        <f t="shared" ref="AA8:AA46" si="3">D8/F8</f>
        <v>1</v>
      </c>
      <c r="AB8" s="773">
        <f t="shared" ref="AB8:AB46" si="4">D8/H8</f>
        <v>1</v>
      </c>
      <c r="AC8" s="773">
        <f t="shared" ref="AC8:AC46" si="5">D8/J8</f>
        <v>1</v>
      </c>
    </row>
    <row r="9" spans="1:29" s="117" customFormat="1">
      <c r="A9" s="415" t="s">
        <v>2551</v>
      </c>
      <c r="B9" s="71" t="s">
        <v>2552</v>
      </c>
      <c r="C9" s="2969" t="s">
        <v>3082</v>
      </c>
      <c r="D9" s="135">
        <v>100</v>
      </c>
      <c r="E9" s="2971" t="s">
        <v>3082</v>
      </c>
      <c r="F9" s="418">
        <f>SUMIF(63:63,E9,64:64)-SUMIF(63:63,C9,64:64)+100</f>
        <v>100</v>
      </c>
      <c r="G9" s="2971" t="s">
        <v>3082</v>
      </c>
      <c r="H9" s="135">
        <f>SUMIF(63:63,G9,64:64)-SUMIF(63:63,C9,64:64)+100</f>
        <v>100</v>
      </c>
      <c r="I9" s="2971" t="s">
        <v>3082</v>
      </c>
      <c r="J9" s="135">
        <f>SUMIF(63:63,I9,64:64)-SUMIF(63:63,C9,64:64)+100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75" thickBot="1">
      <c r="A10" s="421"/>
      <c r="B10" s="422" t="s">
        <v>2555</v>
      </c>
      <c r="C10" s="423" t="s">
        <v>3080</v>
      </c>
      <c r="D10" s="136">
        <v>100</v>
      </c>
      <c r="E10" s="424" t="s">
        <v>3080</v>
      </c>
      <c r="F10" s="425">
        <f>SUMIF(65:65,E10,66:66)-SUMIF(65:65,C10,66:66)+100</f>
        <v>100</v>
      </c>
      <c r="G10" s="423" t="s">
        <v>3080</v>
      </c>
      <c r="H10" s="136">
        <f>SUMIF(65:65,G10,66:66)-SUMIF(65:65,C10,66:66)+100</f>
        <v>100</v>
      </c>
      <c r="I10" s="423" t="s">
        <v>3080</v>
      </c>
      <c r="J10" s="136">
        <f>SUMIF(65:65,I10,66:66)-SUMIF(65:65,C10,66:66)+100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773">
        <f t="shared" si="5"/>
        <v>1</v>
      </c>
    </row>
    <row r="12" spans="1:29" s="117" customFormat="1" ht="15" hidden="1">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hidden="1"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2557</v>
      </c>
      <c r="B15" s="69" t="s">
        <v>2651</v>
      </c>
      <c r="C15" s="2606" t="str">
        <f>估价对象房地状况!C4</f>
        <v>估价对象周边商业氛围一般，人流量较大，商业繁华度一般</v>
      </c>
      <c r="D15" s="441">
        <v>100</v>
      </c>
      <c r="E15" s="2986" t="s">
        <v>3118</v>
      </c>
      <c r="F15" s="443">
        <f>SUMIF(76:76,E16,77:77)-SUMIF(76:76,C16,77:77)+100</f>
        <v>100</v>
      </c>
      <c r="G15" s="2987" t="s">
        <v>3159</v>
      </c>
      <c r="H15" s="441">
        <f>SUMIF(76:76,G16,77:77)-SUMIF(76:76,C16,77:77)+100</f>
        <v>100</v>
      </c>
      <c r="I15" s="2986" t="s">
        <v>3158</v>
      </c>
      <c r="J15" s="441">
        <f>SUMIF(76:76,I16,77:77)-SUMIF(76:76,C16,77:77)+100</f>
        <v>100</v>
      </c>
      <c r="K15" s="614">
        <v>2</v>
      </c>
      <c r="L15" s="1143"/>
      <c r="M15" s="1134"/>
      <c r="N15" s="1134"/>
      <c r="O15" s="1134"/>
      <c r="P15" s="3201" t="s">
        <v>2558</v>
      </c>
      <c r="Q15" s="1813" t="str">
        <f t="shared" si="6"/>
        <v>商业繁华度</v>
      </c>
      <c r="R15" s="774" t="s">
        <v>17</v>
      </c>
      <c r="S15" s="775">
        <f t="shared" si="0"/>
        <v>100</v>
      </c>
      <c r="T15" s="774" t="s">
        <v>17</v>
      </c>
      <c r="U15" s="775">
        <f t="shared" si="1"/>
        <v>100</v>
      </c>
      <c r="V15" s="774" t="s">
        <v>17</v>
      </c>
      <c r="W15" s="775">
        <f t="shared" si="2"/>
        <v>100</v>
      </c>
      <c r="X15" s="1816"/>
      <c r="Y15" s="3203" t="s">
        <v>2558</v>
      </c>
      <c r="Z15" s="1817" t="str">
        <f t="shared" si="7"/>
        <v>商业繁华度</v>
      </c>
      <c r="AA15" s="1814">
        <f t="shared" si="3"/>
        <v>1</v>
      </c>
      <c r="AB15" s="1814">
        <f t="shared" si="4"/>
        <v>1</v>
      </c>
      <c r="AC15" s="1814">
        <f t="shared" si="5"/>
        <v>1</v>
      </c>
    </row>
    <row r="16" spans="1:29" ht="15">
      <c r="A16" s="428"/>
      <c r="B16" s="446"/>
      <c r="C16" s="447" t="s">
        <v>3088</v>
      </c>
      <c r="D16" s="448"/>
      <c r="E16" s="447" t="s">
        <v>3088</v>
      </c>
      <c r="F16" s="449"/>
      <c r="G16" s="447" t="s">
        <v>3088</v>
      </c>
      <c r="H16" s="450"/>
      <c r="I16" s="447" t="s">
        <v>3088</v>
      </c>
      <c r="J16" s="448"/>
      <c r="K16" s="615"/>
      <c r="L16" s="1143"/>
      <c r="M16" s="1134"/>
      <c r="N16" s="1134"/>
      <c r="O16" s="1134"/>
      <c r="P16" s="3202"/>
      <c r="Q16" s="1813"/>
      <c r="R16" s="774"/>
      <c r="S16" s="775"/>
      <c r="T16" s="774"/>
      <c r="U16" s="775"/>
      <c r="V16" s="774"/>
      <c r="W16" s="775"/>
      <c r="X16" s="1816"/>
      <c r="Y16" s="3204"/>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2989" t="s">
        <v>3121</v>
      </c>
      <c r="F17" s="453">
        <f>SUMIF(78:78,E18,79:79)-SUMIF(78:78,C18,79:79)+100</f>
        <v>100</v>
      </c>
      <c r="G17" s="2990" t="s">
        <v>3126</v>
      </c>
      <c r="H17" s="455">
        <f>SUMIF(78:78,G18,79:79)-SUMIF(78:78,C18,79:79)+100</f>
        <v>98</v>
      </c>
      <c r="I17" s="2989" t="s">
        <v>3122</v>
      </c>
      <c r="J17" s="455">
        <f>SUMIF(78:78,I18,79:79)-SUMIF(78:78,C18,79:79)+100</f>
        <v>100</v>
      </c>
      <c r="K17" s="614">
        <v>2</v>
      </c>
      <c r="L17" s="1143"/>
      <c r="M17" s="1134"/>
      <c r="N17" s="1134"/>
      <c r="O17" s="1134"/>
      <c r="P17" s="3202"/>
      <c r="Q17" s="1813" t="str">
        <f>B17</f>
        <v>交通便捷度</v>
      </c>
      <c r="R17" s="774" t="s">
        <v>17</v>
      </c>
      <c r="S17" s="775">
        <f>F17</f>
        <v>100</v>
      </c>
      <c r="T17" s="774" t="s">
        <v>17</v>
      </c>
      <c r="U17" s="775">
        <f>H17</f>
        <v>98</v>
      </c>
      <c r="V17" s="774" t="s">
        <v>17</v>
      </c>
      <c r="W17" s="775">
        <f>J17</f>
        <v>100</v>
      </c>
      <c r="X17" s="1816"/>
      <c r="Y17" s="3204"/>
      <c r="Z17" s="1817" t="str">
        <f>Q17</f>
        <v>交通便捷度</v>
      </c>
      <c r="AA17" s="1814">
        <f t="shared" si="3"/>
        <v>1</v>
      </c>
      <c r="AB17" s="1814">
        <f t="shared" si="4"/>
        <v>1.0204081632653061</v>
      </c>
      <c r="AC17" s="1814">
        <f t="shared" si="5"/>
        <v>1</v>
      </c>
    </row>
    <row r="18" spans="1:29" ht="15">
      <c r="A18" s="428"/>
      <c r="B18" s="456"/>
      <c r="C18" s="2611" t="s">
        <v>3089</v>
      </c>
      <c r="D18" s="450"/>
      <c r="E18" s="2613" t="s">
        <v>3089</v>
      </c>
      <c r="F18" s="453"/>
      <c r="G18" s="2612" t="s">
        <v>3088</v>
      </c>
      <c r="H18" s="448"/>
      <c r="I18" s="2613" t="s">
        <v>3089</v>
      </c>
      <c r="J18" s="448"/>
      <c r="K18" s="615"/>
      <c r="L18" s="1143"/>
      <c r="M18" s="1134"/>
      <c r="N18" s="1134"/>
      <c r="O18" s="1134"/>
      <c r="P18" s="3202"/>
      <c r="Q18" s="1813"/>
      <c r="R18" s="774"/>
      <c r="S18" s="775"/>
      <c r="T18" s="774"/>
      <c r="U18" s="775"/>
      <c r="V18" s="774"/>
      <c r="W18" s="775"/>
      <c r="X18" s="1816"/>
      <c r="Y18" s="3204"/>
      <c r="Z18" s="1817"/>
      <c r="AA18" s="1814">
        <v>1</v>
      </c>
      <c r="AB18" s="1814">
        <v>1</v>
      </c>
      <c r="AC18" s="1814">
        <v>1</v>
      </c>
    </row>
    <row r="19" spans="1:29" ht="42.75">
      <c r="A19" s="428"/>
      <c r="B19" s="451" t="s">
        <v>2652</v>
      </c>
      <c r="C19" s="2610" t="str">
        <f>估价对象房地状况!C7</f>
        <v>估价对象所在区域公共配套设施较齐备</v>
      </c>
      <c r="D19" s="455">
        <v>100</v>
      </c>
      <c r="E19" s="2991" t="s">
        <v>3129</v>
      </c>
      <c r="F19" s="458">
        <f>SUMIF(80:80,E20,81:81)-SUMIF(80:80,C20,81:81)+100</f>
        <v>100</v>
      </c>
      <c r="G19" s="2992" t="s">
        <v>3129</v>
      </c>
      <c r="H19" s="450">
        <f>SUMIF(80:80,G20,81:81)-SUMIF(80:80,C20,81:81)+100</f>
        <v>100</v>
      </c>
      <c r="I19" s="2991" t="s">
        <v>3129</v>
      </c>
      <c r="J19" s="450">
        <f>SUMIF(80:80,I20,81:81)-SUMIF(80:80,C20,81:81)+100</f>
        <v>100</v>
      </c>
      <c r="K19" s="614">
        <v>2</v>
      </c>
      <c r="L19" s="1143"/>
      <c r="M19" s="1134"/>
      <c r="N19" s="1134"/>
      <c r="O19" s="1134"/>
      <c r="P19" s="3202"/>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t="s">
        <v>3089</v>
      </c>
      <c r="D20" s="448"/>
      <c r="E20" s="2608" t="s">
        <v>3089</v>
      </c>
      <c r="F20" s="449"/>
      <c r="G20" s="2607" t="s">
        <v>3089</v>
      </c>
      <c r="H20" s="448"/>
      <c r="I20" s="2608" t="s">
        <v>3089</v>
      </c>
      <c r="J20" s="448"/>
      <c r="K20" s="615"/>
      <c r="L20" s="1143"/>
      <c r="M20" s="1134"/>
      <c r="N20" s="1134"/>
      <c r="O20" s="1134"/>
      <c r="P20" s="3202"/>
      <c r="Q20" s="1813"/>
      <c r="R20" s="774"/>
      <c r="S20" s="775"/>
      <c r="T20" s="774"/>
      <c r="U20" s="775"/>
      <c r="V20" s="774"/>
      <c r="W20" s="775"/>
      <c r="X20" s="1816"/>
      <c r="Y20" s="3204"/>
      <c r="Z20" s="1817"/>
      <c r="AA20" s="1814">
        <v>1</v>
      </c>
      <c r="AB20" s="1814">
        <v>1</v>
      </c>
      <c r="AC20" s="1814">
        <v>1</v>
      </c>
    </row>
    <row r="21" spans="1:29" ht="28.5">
      <c r="A21" s="428"/>
      <c r="B21" s="1387" t="s">
        <v>2653</v>
      </c>
      <c r="C21" s="2610" t="str">
        <f>估价对象房地状况!C8</f>
        <v>估价对象所在区域基础设施七通</v>
      </c>
      <c r="D21" s="455">
        <v>100</v>
      </c>
      <c r="E21" s="2991" t="s">
        <v>3131</v>
      </c>
      <c r="F21" s="458">
        <f>SUMIF(82:82,E22,83:83)-SUMIF(82:82,C22,83:83)+100</f>
        <v>100</v>
      </c>
      <c r="G21" s="2992" t="s">
        <v>3131</v>
      </c>
      <c r="H21" s="450">
        <f>SUMIF(82:82,G22,83:83)-SUMIF(82:82,C22,83:83)+100</f>
        <v>100</v>
      </c>
      <c r="I21" s="2991" t="s">
        <v>3132</v>
      </c>
      <c r="J21" s="450">
        <f>SUMIF(82:82,I22,83:83)-SUMIF(82:82,C22,83:83)+100</f>
        <v>100</v>
      </c>
      <c r="K21" s="614">
        <v>2</v>
      </c>
      <c r="L21" s="1143"/>
      <c r="M21" s="1134"/>
      <c r="N21" s="1134"/>
      <c r="O21" s="1134"/>
      <c r="P21" s="3202"/>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1" t="s">
        <v>3090</v>
      </c>
      <c r="D22" s="448"/>
      <c r="E22" s="2973" t="s">
        <v>3091</v>
      </c>
      <c r="F22" s="449"/>
      <c r="G22" s="2973" t="s">
        <v>3091</v>
      </c>
      <c r="H22" s="448"/>
      <c r="I22" s="2973" t="s">
        <v>3091</v>
      </c>
      <c r="J22" s="448"/>
      <c r="K22" s="1386"/>
      <c r="L22" s="1143"/>
      <c r="M22" s="1134"/>
      <c r="N22" s="1134"/>
      <c r="O22" s="1134"/>
      <c r="P22" s="3202"/>
      <c r="Q22" s="1813"/>
      <c r="R22" s="774"/>
      <c r="S22" s="775"/>
      <c r="T22" s="774"/>
      <c r="U22" s="775"/>
      <c r="V22" s="774"/>
      <c r="W22" s="775"/>
      <c r="X22" s="1816"/>
      <c r="Y22" s="3204"/>
      <c r="Z22" s="1817"/>
      <c r="AA22" s="1814">
        <v>1</v>
      </c>
      <c r="AB22" s="1814">
        <v>1</v>
      </c>
      <c r="AC22" s="1814">
        <v>1</v>
      </c>
    </row>
    <row r="23" spans="1:29" ht="57">
      <c r="A23" s="428"/>
      <c r="B23" s="451" t="s">
        <v>2100</v>
      </c>
      <c r="C23" s="2667" t="str">
        <f>估价对象房地状况!C9</f>
        <v>区域自然环境：；人文环境；综合评价环境状况较好</v>
      </c>
      <c r="D23" s="450">
        <v>100</v>
      </c>
      <c r="E23" s="2989" t="s">
        <v>3139</v>
      </c>
      <c r="F23" s="453">
        <f>SUMIF(84:84,E24,85:85)-SUMIF(84:84,C24,85:85)+100</f>
        <v>98</v>
      </c>
      <c r="G23" s="2990" t="s">
        <v>3135</v>
      </c>
      <c r="H23" s="450">
        <f>SUMIF(84:84,G24,85:85)-SUMIF(84:84,C24,85:85)+100</f>
        <v>100</v>
      </c>
      <c r="I23" s="2989" t="s">
        <v>3136</v>
      </c>
      <c r="J23" s="450">
        <f>SUMIF(84:84,I24,85:85)-SUMIF(84:84,C24,85:85)+100</f>
        <v>100</v>
      </c>
      <c r="K23" s="614">
        <v>2</v>
      </c>
      <c r="L23" s="1143"/>
      <c r="M23" s="1134"/>
      <c r="N23" s="1134"/>
      <c r="O23" s="1134"/>
      <c r="P23" s="3202"/>
      <c r="Q23" s="1813" t="str">
        <f>B23</f>
        <v>自然及人文环境</v>
      </c>
      <c r="R23" s="774" t="s">
        <v>17</v>
      </c>
      <c r="S23" s="775">
        <f>F23</f>
        <v>98</v>
      </c>
      <c r="T23" s="774" t="s">
        <v>17</v>
      </c>
      <c r="U23" s="775">
        <f>H23</f>
        <v>100</v>
      </c>
      <c r="V23" s="774" t="s">
        <v>17</v>
      </c>
      <c r="W23" s="775">
        <f>J23</f>
        <v>100</v>
      </c>
      <c r="X23" s="1816"/>
      <c r="Y23" s="3204"/>
      <c r="Z23" s="1817" t="str">
        <f>Q23</f>
        <v>自然及人文环境</v>
      </c>
      <c r="AA23" s="1814">
        <f t="shared" si="3"/>
        <v>1.0204081632653061</v>
      </c>
      <c r="AB23" s="1814">
        <f t="shared" si="4"/>
        <v>1</v>
      </c>
      <c r="AC23" s="1814">
        <f t="shared" si="5"/>
        <v>1</v>
      </c>
    </row>
    <row r="24" spans="1:29" ht="15">
      <c r="A24" s="428"/>
      <c r="B24" s="456"/>
      <c r="C24" s="447" t="s">
        <v>3089</v>
      </c>
      <c r="D24" s="448"/>
      <c r="E24" s="2974" t="s">
        <v>3088</v>
      </c>
      <c r="F24" s="449"/>
      <c r="G24" s="2975" t="s">
        <v>3092</v>
      </c>
      <c r="H24" s="448"/>
      <c r="I24" s="2974" t="s">
        <v>3092</v>
      </c>
      <c r="J24" s="448"/>
      <c r="K24" s="615"/>
      <c r="L24" s="1143"/>
      <c r="M24" s="1134"/>
      <c r="N24" s="1134"/>
      <c r="O24" s="1134"/>
      <c r="P24" s="3202"/>
      <c r="Q24" s="1813"/>
      <c r="R24" s="774"/>
      <c r="S24" s="775"/>
      <c r="T24" s="774"/>
      <c r="U24" s="775"/>
      <c r="V24" s="774"/>
      <c r="W24" s="775"/>
      <c r="X24" s="1816"/>
      <c r="Y24" s="3204"/>
      <c r="Z24" s="1817"/>
      <c r="AA24" s="1814">
        <v>1</v>
      </c>
      <c r="AB24" s="1814">
        <v>1</v>
      </c>
      <c r="AC24" s="1814">
        <v>1</v>
      </c>
    </row>
    <row r="25" spans="1:29" ht="15">
      <c r="A25" s="428"/>
      <c r="B25" s="422" t="s">
        <v>2654</v>
      </c>
      <c r="C25" s="2976" t="s">
        <v>3093</v>
      </c>
      <c r="D25" s="435">
        <v>100</v>
      </c>
      <c r="E25" s="2976" t="s">
        <v>3093</v>
      </c>
      <c r="F25" s="461">
        <f>SUMIF(86:86,E25,87:87)-SUMIF(86:86,C25,87:87)+100</f>
        <v>100</v>
      </c>
      <c r="G25" s="2976" t="s">
        <v>3093</v>
      </c>
      <c r="H25" s="435">
        <f>SUMIF(86:86,G25,87:87)-SUMIF(86:86,C25,87:87)+100</f>
        <v>100</v>
      </c>
      <c r="I25" s="2976" t="s">
        <v>3093</v>
      </c>
      <c r="J25" s="435">
        <f>SUMIF(86:86,I25,87:87)-SUMIF(86:86,C25,87:87)+100</f>
        <v>100</v>
      </c>
      <c r="K25" s="612"/>
      <c r="L25" s="1143"/>
      <c r="M25" s="1134"/>
      <c r="N25" s="1134"/>
      <c r="O25" s="1134"/>
      <c r="P25" s="3202"/>
      <c r="Q25" s="1813" t="str">
        <f t="shared" ref="Q25:Q46" si="11">B25</f>
        <v>临街状况</v>
      </c>
      <c r="R25" s="774" t="s">
        <v>17</v>
      </c>
      <c r="S25" s="775">
        <f>F25</f>
        <v>100</v>
      </c>
      <c r="T25" s="774" t="s">
        <v>17</v>
      </c>
      <c r="U25" s="775">
        <f>H25</f>
        <v>100</v>
      </c>
      <c r="V25" s="774" t="s">
        <v>17</v>
      </c>
      <c r="W25" s="775">
        <f>J25</f>
        <v>100</v>
      </c>
      <c r="X25" s="1816"/>
      <c r="Y25" s="3204"/>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2"/>
      <c r="Q26" s="1813" t="str">
        <f t="shared" si="11"/>
        <v>平面位置/可视性</v>
      </c>
      <c r="R26" s="774" t="s">
        <v>17</v>
      </c>
      <c r="S26" s="775">
        <f>F26</f>
        <v>100</v>
      </c>
      <c r="T26" s="774" t="s">
        <v>17</v>
      </c>
      <c r="U26" s="775">
        <f>H26</f>
        <v>100</v>
      </c>
      <c r="V26" s="774" t="s">
        <v>17</v>
      </c>
      <c r="W26" s="775">
        <f>J26</f>
        <v>100</v>
      </c>
      <c r="X26" s="1816"/>
      <c r="Y26" s="3204"/>
      <c r="Z26" s="1817" t="str">
        <f>Q26</f>
        <v>平面位置/可视性</v>
      </c>
      <c r="AA26" s="1814">
        <f t="shared" si="3"/>
        <v>1</v>
      </c>
      <c r="AB26" s="1814">
        <f t="shared" si="4"/>
        <v>1</v>
      </c>
      <c r="AC26" s="1814">
        <f t="shared" si="5"/>
        <v>1</v>
      </c>
    </row>
    <row r="27" spans="1:29" s="117" customFormat="1" ht="15">
      <c r="A27" s="431"/>
      <c r="B27" s="451" t="s">
        <v>2656</v>
      </c>
      <c r="C27" s="2977" t="s">
        <v>3094</v>
      </c>
      <c r="D27" s="462">
        <v>100</v>
      </c>
      <c r="E27" s="2977" t="s">
        <v>3094</v>
      </c>
      <c r="F27" s="464">
        <f>SUMIF(90:90,E27,91:91)-SUMIF(90:90,C27,91:91)+100</f>
        <v>100</v>
      </c>
      <c r="G27" s="2977" t="s">
        <v>3094</v>
      </c>
      <c r="H27" s="462">
        <f>SUMIF(90:90,G27,91:91)-SUMIF(90:90,C27,91:91)+100</f>
        <v>100</v>
      </c>
      <c r="I27" s="2977" t="s">
        <v>3094</v>
      </c>
      <c r="J27" s="462">
        <f>SUMIF(90:90,I27,91:91)-SUMIF(90:90,C27,91:91)+100</f>
        <v>100</v>
      </c>
      <c r="K27" s="612"/>
      <c r="L27" s="1135"/>
      <c r="M27" s="1136"/>
      <c r="N27" s="1136"/>
      <c r="O27" s="1136"/>
      <c r="P27" s="3202"/>
      <c r="Q27" s="1798" t="str">
        <f t="shared" si="11"/>
        <v>人流量</v>
      </c>
      <c r="R27" s="770" t="s">
        <v>17</v>
      </c>
      <c r="S27" s="771">
        <f>F27</f>
        <v>100</v>
      </c>
      <c r="T27" s="770" t="s">
        <v>17</v>
      </c>
      <c r="U27" s="771">
        <f>H27</f>
        <v>100</v>
      </c>
      <c r="V27" s="770" t="s">
        <v>17</v>
      </c>
      <c r="W27" s="771">
        <f>J27</f>
        <v>100</v>
      </c>
      <c r="X27" s="772"/>
      <c r="Y27" s="3204"/>
      <c r="Z27" s="55" t="str">
        <f>Q27</f>
        <v>人流量</v>
      </c>
      <c r="AA27" s="1814">
        <f>D27/F27</f>
        <v>1</v>
      </c>
      <c r="AB27" s="1814">
        <f>D27/H27</f>
        <v>1</v>
      </c>
      <c r="AC27" s="1814">
        <f>D27/J27</f>
        <v>1</v>
      </c>
    </row>
    <row r="28" spans="1:29" ht="15">
      <c r="A28" s="428"/>
      <c r="B28" s="422" t="s">
        <v>2657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0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2"/>
      <c r="Q29" s="1813">
        <f t="shared" si="11"/>
        <v>111</v>
      </c>
      <c r="R29" s="774" t="s">
        <v>17</v>
      </c>
      <c r="S29" s="775">
        <f t="shared" si="12"/>
        <v>100</v>
      </c>
      <c r="T29" s="774" t="s">
        <v>17</v>
      </c>
      <c r="U29" s="775">
        <f t="shared" si="13"/>
        <v>100</v>
      </c>
      <c r="V29" s="774" t="s">
        <v>17</v>
      </c>
      <c r="W29" s="775">
        <f t="shared" si="14"/>
        <v>100</v>
      </c>
      <c r="X29" s="1816"/>
      <c r="Y29" s="320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2"/>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2"/>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1814">
        <f t="shared" si="5"/>
        <v>1</v>
      </c>
    </row>
    <row r="32" spans="1:29" ht="15">
      <c r="A32" s="440" t="s">
        <v>2561</v>
      </c>
      <c r="B32" s="71" t="s">
        <v>2658</v>
      </c>
      <c r="C32" s="2978" t="s">
        <v>3096</v>
      </c>
      <c r="D32" s="467">
        <v>100</v>
      </c>
      <c r="E32" s="2978" t="s">
        <v>3095</v>
      </c>
      <c r="F32" s="461">
        <f>SUMIF(100:100,E32,101:101)-SUMIF(100:100,C32,101:101)+100</f>
        <v>100</v>
      </c>
      <c r="G32" s="2978" t="s">
        <v>3095</v>
      </c>
      <c r="H32" s="435">
        <f>SUMIF(100:100,G32,101:101)-SUMIF(100:100,C32,101:101)+100</f>
        <v>100</v>
      </c>
      <c r="I32" s="2978" t="s">
        <v>3095</v>
      </c>
      <c r="J32" s="467">
        <f>SUMIF(100:100,I32,101:101)-SUMIF(100:100,C32,101:101)+100</f>
        <v>100</v>
      </c>
      <c r="K32" s="612"/>
      <c r="L32" s="1143"/>
      <c r="M32" s="1134"/>
      <c r="N32" s="1134"/>
      <c r="O32" s="1134"/>
      <c r="P32" s="3205" t="s">
        <v>2563</v>
      </c>
      <c r="Q32" s="1813" t="str">
        <f t="shared" si="11"/>
        <v>商业类型</v>
      </c>
      <c r="R32" s="774" t="s">
        <v>17</v>
      </c>
      <c r="S32" s="775">
        <f t="shared" si="12"/>
        <v>100</v>
      </c>
      <c r="T32" s="774" t="s">
        <v>17</v>
      </c>
      <c r="U32" s="775">
        <f t="shared" si="13"/>
        <v>100</v>
      </c>
      <c r="V32" s="774" t="s">
        <v>17</v>
      </c>
      <c r="W32" s="775">
        <f t="shared" si="14"/>
        <v>100</v>
      </c>
      <c r="X32" s="1816"/>
      <c r="Y32" s="3208" t="s">
        <v>2563</v>
      </c>
      <c r="Z32" s="1817" t="str">
        <f t="shared" si="15"/>
        <v>商业类型</v>
      </c>
      <c r="AA32" s="1814">
        <f t="shared" si="3"/>
        <v>1</v>
      </c>
      <c r="AB32" s="1814">
        <f t="shared" si="4"/>
        <v>1</v>
      </c>
      <c r="AC32" s="1814">
        <f t="shared" si="5"/>
        <v>1</v>
      </c>
    </row>
    <row r="33" spans="1:29" s="471" customFormat="1" ht="15">
      <c r="A33" s="468"/>
      <c r="B33" s="422" t="s">
        <v>2564</v>
      </c>
      <c r="C33" s="469">
        <f>'数据-汇总表'!F19</f>
        <v>349.87</v>
      </c>
      <c r="D33" s="136">
        <v>100</v>
      </c>
      <c r="E33" s="430">
        <v>100</v>
      </c>
      <c r="F33" s="425">
        <f>LOOKUP(E33,103:103,104:104)-LOOKUP(C33,103:103,104:104)+100</f>
        <v>102</v>
      </c>
      <c r="G33" s="429">
        <v>100</v>
      </c>
      <c r="H33" s="136">
        <f>LOOKUP(G33,103:103,104:104)-LOOKUP(C33,103:103,104:104)+100</f>
        <v>102</v>
      </c>
      <c r="I33" s="429">
        <v>100</v>
      </c>
      <c r="J33" s="136">
        <f>LOOKUP(I33,103:103,104:104)-LOOKUP(C33,103:103,104:104)+100</f>
        <v>102</v>
      </c>
      <c r="K33" s="613"/>
      <c r="L33" s="1141"/>
      <c r="M33" s="1144"/>
      <c r="N33" s="1144"/>
      <c r="O33" s="1144"/>
      <c r="P33" s="3206"/>
      <c r="Q33" s="776" t="str">
        <f t="shared" si="11"/>
        <v>项目建筑规模</v>
      </c>
      <c r="R33" s="777" t="s">
        <v>17</v>
      </c>
      <c r="S33" s="778">
        <f t="shared" si="12"/>
        <v>102</v>
      </c>
      <c r="T33" s="777" t="s">
        <v>17</v>
      </c>
      <c r="U33" s="778">
        <f t="shared" si="13"/>
        <v>102</v>
      </c>
      <c r="V33" s="777" t="s">
        <v>17</v>
      </c>
      <c r="W33" s="778">
        <f t="shared" si="14"/>
        <v>102</v>
      </c>
      <c r="X33" s="779"/>
      <c r="Y33" s="3208"/>
      <c r="Z33" s="780" t="str">
        <f t="shared" si="15"/>
        <v>项目建筑规模</v>
      </c>
      <c r="AA33" s="1814">
        <f t="shared" si="3"/>
        <v>0.98039215686274506</v>
      </c>
      <c r="AB33" s="1814">
        <f t="shared" si="4"/>
        <v>0.98039215686274506</v>
      </c>
      <c r="AC33" s="1814">
        <f t="shared" si="5"/>
        <v>0.98039215686274506</v>
      </c>
    </row>
    <row r="34" spans="1:29" ht="15">
      <c r="A34" s="472"/>
      <c r="B34" s="422" t="s">
        <v>2565</v>
      </c>
      <c r="C34" s="2979" t="s">
        <v>3097</v>
      </c>
      <c r="D34" s="435">
        <v>100</v>
      </c>
      <c r="E34" s="2979" t="s">
        <v>3097</v>
      </c>
      <c r="F34" s="461">
        <f>SUMIF(105:105,E34,106:106)-SUMIF(105:105,C34,106:106)+100</f>
        <v>100</v>
      </c>
      <c r="G34" s="2979" t="s">
        <v>3097</v>
      </c>
      <c r="H34" s="435">
        <f>SUMIF(105:105,G34,106:106)-SUMIF(105:105,C34,106:106)+100</f>
        <v>100</v>
      </c>
      <c r="I34" s="2979" t="s">
        <v>3097</v>
      </c>
      <c r="J34" s="435">
        <f>SUMIF(105:105,I34,106:106)-SUMIF(105:105,C34,106:106)+100</f>
        <v>100</v>
      </c>
      <c r="K34" s="612"/>
      <c r="L34" s="1143"/>
      <c r="M34" s="1134"/>
      <c r="N34" s="1134"/>
      <c r="O34" s="1134"/>
      <c r="P34" s="3206"/>
      <c r="Q34" s="1813" t="str">
        <f t="shared" si="11"/>
        <v>建筑结构</v>
      </c>
      <c r="R34" s="774" t="s">
        <v>17</v>
      </c>
      <c r="S34" s="775">
        <f t="shared" si="12"/>
        <v>100</v>
      </c>
      <c r="T34" s="774" t="s">
        <v>17</v>
      </c>
      <c r="U34" s="775">
        <f t="shared" si="13"/>
        <v>100</v>
      </c>
      <c r="V34" s="774" t="s">
        <v>17</v>
      </c>
      <c r="W34" s="775">
        <f t="shared" si="14"/>
        <v>100</v>
      </c>
      <c r="X34" s="1816"/>
      <c r="Y34" s="3208"/>
      <c r="Z34" s="1817" t="str">
        <f t="shared" si="15"/>
        <v>建筑结构</v>
      </c>
      <c r="AA34" s="1814">
        <f t="shared" si="3"/>
        <v>1</v>
      </c>
      <c r="AB34" s="1814">
        <f t="shared" si="4"/>
        <v>1</v>
      </c>
      <c r="AC34" s="1814">
        <f t="shared" si="5"/>
        <v>1</v>
      </c>
    </row>
    <row r="35" spans="1:29" ht="15">
      <c r="A35" s="472"/>
      <c r="B35" s="422" t="s">
        <v>2659</v>
      </c>
      <c r="C35" s="2980" t="s">
        <v>3101</v>
      </c>
      <c r="D35" s="435">
        <v>100</v>
      </c>
      <c r="E35" s="2980" t="s">
        <v>3101</v>
      </c>
      <c r="F35" s="461">
        <f>SUMIF(107:107,E35,108:108)-SUMIF(107:107,C35,108:108)+100</f>
        <v>100</v>
      </c>
      <c r="G35" s="2980" t="s">
        <v>3101</v>
      </c>
      <c r="H35" s="435">
        <f>SUMIF(107:107,G35,108:108)-SUMIF(107:107,C35,108:108)+100</f>
        <v>100</v>
      </c>
      <c r="I35" s="2980" t="s">
        <v>3101</v>
      </c>
      <c r="J35" s="435">
        <f>SUMIF(107:107,I35,108:108)-SUMIF(107:107,C35,108:108)+100</f>
        <v>100</v>
      </c>
      <c r="K35" s="612"/>
      <c r="L35" s="1143"/>
      <c r="M35" s="1134"/>
      <c r="N35" s="1134"/>
      <c r="O35" s="1134"/>
      <c r="P35" s="3206"/>
      <c r="Q35" s="1813" t="str">
        <f t="shared" si="11"/>
        <v>公共部分装修</v>
      </c>
      <c r="R35" s="774" t="s">
        <v>17</v>
      </c>
      <c r="S35" s="775">
        <f t="shared" si="12"/>
        <v>100</v>
      </c>
      <c r="T35" s="774" t="s">
        <v>17</v>
      </c>
      <c r="U35" s="775">
        <f t="shared" si="13"/>
        <v>100</v>
      </c>
      <c r="V35" s="774" t="s">
        <v>17</v>
      </c>
      <c r="W35" s="775">
        <f t="shared" si="14"/>
        <v>100</v>
      </c>
      <c r="X35" s="1816"/>
      <c r="Y35" s="3208"/>
      <c r="Z35" s="1817" t="str">
        <f t="shared" si="15"/>
        <v>公共部分装修</v>
      </c>
      <c r="AA35" s="1814">
        <f t="shared" si="3"/>
        <v>1</v>
      </c>
      <c r="AB35" s="1814">
        <f t="shared" si="4"/>
        <v>1</v>
      </c>
      <c r="AC35" s="1814">
        <f t="shared" si="5"/>
        <v>1</v>
      </c>
    </row>
    <row r="36" spans="1:29" ht="15">
      <c r="A36" s="472"/>
      <c r="B36" s="422" t="s">
        <v>2660</v>
      </c>
      <c r="C36" s="474">
        <v>0.98</v>
      </c>
      <c r="D36" s="435">
        <v>100</v>
      </c>
      <c r="E36" s="474">
        <v>0.98</v>
      </c>
      <c r="F36" s="461">
        <f>LOOKUP(E36,110:110,111:111)-LOOKUP(C36,110:110,111:111)+100</f>
        <v>100</v>
      </c>
      <c r="G36" s="474">
        <v>1</v>
      </c>
      <c r="H36" s="461">
        <f>LOOKUP(G36,110:110,111:111)-LOOKUP(C36,110:110,111:111)+100</f>
        <v>100</v>
      </c>
      <c r="I36" s="474">
        <v>0.98</v>
      </c>
      <c r="J36" s="435">
        <f>LOOKUP(I36,110:110,111:111)-LOOKUP(C36,110:110,111:111)+100</f>
        <v>100</v>
      </c>
      <c r="K36" s="612"/>
      <c r="L36" s="1143"/>
      <c r="M36" s="1134"/>
      <c r="N36" s="1134"/>
      <c r="O36" s="1134"/>
      <c r="P36" s="3206"/>
      <c r="Q36" s="1813" t="str">
        <f t="shared" si="11"/>
        <v>成新度</v>
      </c>
      <c r="R36" s="774" t="s">
        <v>17</v>
      </c>
      <c r="S36" s="775">
        <f t="shared" si="12"/>
        <v>100</v>
      </c>
      <c r="T36" s="774" t="s">
        <v>17</v>
      </c>
      <c r="U36" s="775">
        <f t="shared" si="13"/>
        <v>100</v>
      </c>
      <c r="V36" s="774" t="s">
        <v>17</v>
      </c>
      <c r="W36" s="775">
        <f t="shared" si="14"/>
        <v>100</v>
      </c>
      <c r="X36" s="1816"/>
      <c r="Y36" s="3208"/>
      <c r="Z36" s="1817" t="str">
        <f t="shared" si="15"/>
        <v>成新度</v>
      </c>
      <c r="AA36" s="1814">
        <f t="shared" si="3"/>
        <v>1</v>
      </c>
      <c r="AB36" s="1814">
        <f t="shared" si="4"/>
        <v>1</v>
      </c>
      <c r="AC36" s="1814">
        <f t="shared" si="5"/>
        <v>1</v>
      </c>
    </row>
    <row r="37" spans="1:29" s="117" customFormat="1" ht="15">
      <c r="A37" s="473"/>
      <c r="B37" s="422" t="s">
        <v>2661</v>
      </c>
      <c r="C37" s="2980" t="s">
        <v>3098</v>
      </c>
      <c r="D37" s="136">
        <v>100</v>
      </c>
      <c r="E37" s="2980" t="s">
        <v>3098</v>
      </c>
      <c r="F37" s="461">
        <f>SUMIF(112:112,E37,113:113)-SUMIF(112:112,C37,113:113)+100</f>
        <v>100</v>
      </c>
      <c r="G37" s="2980" t="s">
        <v>3098</v>
      </c>
      <c r="H37" s="435">
        <f>SUMIF(112:112,G37,113:113)-SUMIF(112:112,C37,113:113)+100</f>
        <v>100</v>
      </c>
      <c r="I37" s="2980" t="s">
        <v>3098</v>
      </c>
      <c r="J37" s="435">
        <f>SUMIF(112:112,I37,113:113)-SUMIF(112:112,C37,113:113)+100</f>
        <v>100</v>
      </c>
      <c r="K37" s="612"/>
      <c r="L37" s="1135"/>
      <c r="M37" s="1136"/>
      <c r="N37" s="1136"/>
      <c r="O37" s="1136"/>
      <c r="P37" s="3206"/>
      <c r="Q37" s="1798"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6" t="s">
        <v>2563</v>
      </c>
      <c r="Q38" s="1813" t="str">
        <f t="shared" si="11"/>
        <v>业态</v>
      </c>
      <c r="R38" s="774" t="s">
        <v>17</v>
      </c>
      <c r="S38" s="775">
        <f t="shared" si="12"/>
        <v>100</v>
      </c>
      <c r="T38" s="774" t="s">
        <v>17</v>
      </c>
      <c r="U38" s="775">
        <f t="shared" si="13"/>
        <v>100</v>
      </c>
      <c r="V38" s="774" t="s">
        <v>17</v>
      </c>
      <c r="W38" s="775">
        <f t="shared" si="14"/>
        <v>100</v>
      </c>
      <c r="X38" s="1816"/>
      <c r="Y38" s="3208" t="s">
        <v>2563</v>
      </c>
      <c r="Z38" s="1817" t="str">
        <f t="shared" si="15"/>
        <v>业态</v>
      </c>
      <c r="AA38" s="1814">
        <f t="shared" si="3"/>
        <v>1</v>
      </c>
      <c r="AB38" s="1814">
        <f t="shared" si="4"/>
        <v>1</v>
      </c>
      <c r="AC38" s="1814">
        <f t="shared" si="5"/>
        <v>1</v>
      </c>
    </row>
    <row r="39" spans="1:29" ht="15">
      <c r="A39" s="472"/>
      <c r="B39" s="422" t="s">
        <v>2663</v>
      </c>
      <c r="C39" s="2616" t="s">
        <v>3099</v>
      </c>
      <c r="D39" s="435">
        <v>100</v>
      </c>
      <c r="E39" s="2616" t="s">
        <v>3099</v>
      </c>
      <c r="F39" s="461">
        <f>SUMIF(116:116,E39,117:117)-SUMIF(116:116,C39,117:117)+100</f>
        <v>100</v>
      </c>
      <c r="G39" s="2616" t="s">
        <v>3099</v>
      </c>
      <c r="H39" s="435">
        <f>SUMIF(116:116,G39,117:117)-SUMIF(116:116,C39,117:117)+100</f>
        <v>100</v>
      </c>
      <c r="I39" s="2616" t="s">
        <v>3099</v>
      </c>
      <c r="J39" s="435">
        <f>SUMIF(116:116,I39,117:117)-SUMIF(116:116,C39,117:117)+100</f>
        <v>100</v>
      </c>
      <c r="K39" s="612"/>
      <c r="L39" s="1143"/>
      <c r="M39" s="1134"/>
      <c r="N39" s="1134"/>
      <c r="O39" s="1134"/>
      <c r="P39" s="3206"/>
      <c r="Q39" s="1813" t="str">
        <f t="shared" si="11"/>
        <v>层高</v>
      </c>
      <c r="R39" s="774" t="s">
        <v>17</v>
      </c>
      <c r="S39" s="775">
        <f t="shared" si="12"/>
        <v>100</v>
      </c>
      <c r="T39" s="774" t="s">
        <v>17</v>
      </c>
      <c r="U39" s="775">
        <f t="shared" si="13"/>
        <v>100</v>
      </c>
      <c r="V39" s="774" t="s">
        <v>17</v>
      </c>
      <c r="W39" s="775">
        <f t="shared" si="14"/>
        <v>100</v>
      </c>
      <c r="X39" s="1816"/>
      <c r="Y39" s="3208"/>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3" t="str">
        <f t="shared" si="11"/>
        <v>单套建筑面积</v>
      </c>
      <c r="R40" s="774" t="s">
        <v>17</v>
      </c>
      <c r="S40" s="775">
        <f t="shared" si="12"/>
        <v>100</v>
      </c>
      <c r="T40" s="774" t="s">
        <v>17</v>
      </c>
      <c r="U40" s="775">
        <f t="shared" si="13"/>
        <v>100</v>
      </c>
      <c r="V40" s="774" t="s">
        <v>17</v>
      </c>
      <c r="W40" s="775">
        <f t="shared" si="14"/>
        <v>100</v>
      </c>
      <c r="X40" s="1816"/>
      <c r="Y40" s="3208"/>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4">
        <f t="shared" si="3"/>
        <v>1</v>
      </c>
      <c r="AB41" s="1814">
        <f t="shared" si="4"/>
        <v>1</v>
      </c>
      <c r="AC41" s="1814">
        <f t="shared" si="5"/>
        <v>1</v>
      </c>
    </row>
    <row r="42" spans="1:29" ht="15">
      <c r="A42" s="472"/>
      <c r="B42" s="422" t="s">
        <v>2666</v>
      </c>
      <c r="C42" s="2980" t="s">
        <v>3100</v>
      </c>
      <c r="D42" s="435">
        <v>100</v>
      </c>
      <c r="E42" s="2980" t="s">
        <v>3100</v>
      </c>
      <c r="F42" s="461">
        <f>SUMIF(122:122,E42,123:123)-SUMIF(122:122,C42,123:123)+100</f>
        <v>100</v>
      </c>
      <c r="G42" s="2980" t="s">
        <v>3100</v>
      </c>
      <c r="H42" s="435">
        <f>SUMIF(122:122,G42,123:123)-SUMIF(122:122,C42,123:123)+100</f>
        <v>100</v>
      </c>
      <c r="I42" s="2980" t="s">
        <v>3100</v>
      </c>
      <c r="J42" s="435">
        <f>SUMIF(122:122,I42,123:123)-SUMIF(122:122,C42,123:123)+100</f>
        <v>100</v>
      </c>
      <c r="K42" s="612"/>
      <c r="L42" s="1143"/>
      <c r="M42" s="1134"/>
      <c r="N42" s="1134"/>
      <c r="O42" s="1134"/>
      <c r="P42" s="3206"/>
      <c r="Q42" s="1813" t="str">
        <f t="shared" si="11"/>
        <v>内部装修</v>
      </c>
      <c r="R42" s="774" t="s">
        <v>17</v>
      </c>
      <c r="S42" s="775">
        <f t="shared" si="12"/>
        <v>100</v>
      </c>
      <c r="T42" s="774" t="s">
        <v>17</v>
      </c>
      <c r="U42" s="775">
        <f t="shared" si="13"/>
        <v>100</v>
      </c>
      <c r="V42" s="774" t="s">
        <v>17</v>
      </c>
      <c r="W42" s="775">
        <f t="shared" si="14"/>
        <v>100</v>
      </c>
      <c r="X42" s="1816"/>
      <c r="Y42" s="3208"/>
      <c r="Z42" s="1817" t="str">
        <f t="shared" si="15"/>
        <v>内部装修</v>
      </c>
      <c r="AA42" s="1814">
        <f t="shared" si="3"/>
        <v>1</v>
      </c>
      <c r="AB42" s="1814">
        <f t="shared" si="4"/>
        <v>1</v>
      </c>
      <c r="AC42" s="1814">
        <f t="shared" si="5"/>
        <v>1</v>
      </c>
    </row>
    <row r="43" spans="1:29" ht="15">
      <c r="A43" s="472"/>
      <c r="B43" s="422" t="s">
        <v>2574</v>
      </c>
      <c r="C43" s="2980" t="s">
        <v>3092</v>
      </c>
      <c r="D43" s="435">
        <v>100</v>
      </c>
      <c r="E43" s="2980" t="s">
        <v>3092</v>
      </c>
      <c r="F43" s="461">
        <f>SUMIF(124:124,E43,125:125)-SUMIF(124:124,C43,125:125)+100</f>
        <v>100</v>
      </c>
      <c r="G43" s="2980" t="s">
        <v>3092</v>
      </c>
      <c r="H43" s="435">
        <f>SUMIF(124:124,G43,125:125)-SUMIF(124:124,C43,125:125)+100</f>
        <v>100</v>
      </c>
      <c r="I43" s="2980" t="s">
        <v>3092</v>
      </c>
      <c r="J43" s="435">
        <f>SUMIF(124:124,I43,125:125)-SUMIF(124:124,C43,125:125)+100</f>
        <v>100</v>
      </c>
      <c r="K43" s="612"/>
      <c r="L43" s="1143"/>
      <c r="M43" s="1134"/>
      <c r="N43" s="1134"/>
      <c r="O43" s="1134"/>
      <c r="P43" s="3206"/>
      <c r="Q43" s="1813" t="str">
        <f t="shared" si="11"/>
        <v>内部装修维护情况</v>
      </c>
      <c r="R43" s="774" t="s">
        <v>17</v>
      </c>
      <c r="S43" s="775">
        <f t="shared" si="12"/>
        <v>100</v>
      </c>
      <c r="T43" s="774" t="s">
        <v>17</v>
      </c>
      <c r="U43" s="775">
        <f t="shared" si="13"/>
        <v>100</v>
      </c>
      <c r="V43" s="774" t="s">
        <v>17</v>
      </c>
      <c r="W43" s="775">
        <f t="shared" si="14"/>
        <v>100</v>
      </c>
      <c r="X43" s="1816"/>
      <c r="Y43" s="320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8">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3">
        <f t="shared" si="11"/>
        <v>111</v>
      </c>
      <c r="R45" s="774" t="s">
        <v>17</v>
      </c>
      <c r="S45" s="775">
        <f t="shared" si="12"/>
        <v>100</v>
      </c>
      <c r="T45" s="774" t="s">
        <v>17</v>
      </c>
      <c r="U45" s="775">
        <f t="shared" si="13"/>
        <v>100</v>
      </c>
      <c r="V45" s="774" t="s">
        <v>17</v>
      </c>
      <c r="W45" s="775">
        <f t="shared" si="14"/>
        <v>100</v>
      </c>
      <c r="X45" s="1816"/>
      <c r="Y45" s="3208"/>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1814">
        <f t="shared" si="5"/>
        <v>1</v>
      </c>
    </row>
    <row r="47" spans="1:29" ht="15">
      <c r="A47" s="479" t="s">
        <v>2575</v>
      </c>
      <c r="B47" s="480"/>
      <c r="C47" s="1410" t="s">
        <v>1</v>
      </c>
      <c r="D47" s="1411"/>
      <c r="E47" s="1412">
        <v>26000</v>
      </c>
      <c r="F47" s="1413"/>
      <c r="G47" s="1414">
        <v>27000</v>
      </c>
      <c r="H47" s="1415"/>
      <c r="I47" s="1412">
        <v>26000</v>
      </c>
      <c r="J47" s="1415"/>
      <c r="K47" s="783"/>
      <c r="L47" s="1146"/>
      <c r="M47" s="1147"/>
      <c r="N47" s="1134"/>
      <c r="O47" s="1147"/>
      <c r="P47" s="3196" t="str">
        <f>A47</f>
        <v>成交单价（元/平方米）</v>
      </c>
      <c r="Q47" s="3196"/>
      <c r="R47" s="3210">
        <f>E47</f>
        <v>26000</v>
      </c>
      <c r="S47" s="3210"/>
      <c r="T47" s="3210">
        <f>G47</f>
        <v>27000</v>
      </c>
      <c r="U47" s="3210"/>
      <c r="V47" s="3210">
        <f>I47</f>
        <v>26000</v>
      </c>
      <c r="W47" s="3210"/>
      <c r="X47" s="759"/>
      <c r="Y47" s="781"/>
      <c r="Z47" s="759"/>
      <c r="AA47" s="759"/>
      <c r="AB47" s="759"/>
      <c r="AC47" s="759"/>
    </row>
    <row r="48" spans="1:29" ht="15.75" thickBot="1">
      <c r="A48" s="486" t="s">
        <v>2667</v>
      </c>
      <c r="B48" s="487"/>
      <c r="C48" s="1416">
        <f>R49</f>
        <v>26170</v>
      </c>
      <c r="D48" s="1417"/>
      <c r="E48" s="1418">
        <f>R48</f>
        <v>26010</v>
      </c>
      <c r="F48" s="1418"/>
      <c r="G48" s="1416">
        <f>T48</f>
        <v>27011</v>
      </c>
      <c r="H48" s="1417"/>
      <c r="I48" s="1418">
        <f>V48</f>
        <v>25490</v>
      </c>
      <c r="J48" s="1417"/>
      <c r="K48" s="784"/>
      <c r="L48" s="1146"/>
      <c r="M48" s="1147"/>
      <c r="N48" s="1134"/>
      <c r="O48" s="1147"/>
      <c r="P48" s="3196" t="str">
        <f>A48</f>
        <v>比较价值（元/平方米）</v>
      </c>
      <c r="Q48" s="3196"/>
      <c r="R48" s="3197">
        <f>IF(F1="售价",ROUND(PRODUCT(R47,AA7:AA46),0),ROUND(PRODUCT(R47,AA7:AA46),1))</f>
        <v>26010</v>
      </c>
      <c r="S48" s="3197"/>
      <c r="T48" s="3197">
        <f>IF(F1="售价",ROUND(PRODUCT(T47,AB7:AB46),0),ROUND(PRODUCT(T47,AB7:AB46),1))</f>
        <v>27011</v>
      </c>
      <c r="U48" s="3197"/>
      <c r="V48" s="3197">
        <f>IF(F1="售价",ROUND(PRODUCT(V47,AC7:AC46),0),ROUND(PRODUCT(V47,AC7:AC46),1))</f>
        <v>25490</v>
      </c>
      <c r="W48" s="3197"/>
      <c r="X48" s="759"/>
      <c r="Y48" s="759"/>
      <c r="Z48" s="759"/>
      <c r="AA48" s="759"/>
      <c r="AB48" s="759"/>
      <c r="AC48" s="759"/>
    </row>
    <row r="49" spans="1:29" ht="15.75" thickBot="1">
      <c r="A49" s="492" t="s">
        <v>2668</v>
      </c>
      <c r="B49" s="493"/>
      <c r="C49" s="1420">
        <f>R49</f>
        <v>26170</v>
      </c>
      <c r="D49" s="1420"/>
      <c r="E49" s="1420"/>
      <c r="F49" s="1420"/>
      <c r="G49" s="1420"/>
      <c r="H49" s="1420"/>
      <c r="I49" s="1420"/>
      <c r="J49" s="1420"/>
      <c r="K49" s="785"/>
      <c r="L49" s="1146"/>
      <c r="M49" s="1147"/>
      <c r="N49" s="1134"/>
      <c r="O49" s="1147"/>
      <c r="P49" s="3198" t="str">
        <f>A49</f>
        <v>估价对象XX用房的比较价值（楼面单价，元/平方米）</v>
      </c>
      <c r="Q49" s="3199"/>
      <c r="R49" s="3200">
        <f>IF(F1="售价",ROUND(AVERAGE(R48:V48),0),ROUND(AVERAGE(R48:V48),1))</f>
        <v>26170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f>IF(E47&lt;E48,E48/E47-1,E47/E48-1)</f>
        <v>3.8461538461542766E-4</v>
      </c>
      <c r="F52" s="500" t="str">
        <f>IF(OR(E52&gt;=0.3,E52&lt;=-0.3),"超过30%","")</f>
        <v/>
      </c>
      <c r="G52" s="499">
        <f>IF(G47&lt;G48,G48/G47-1,G47/G48-1)</f>
        <v>4.0740740740741188E-4</v>
      </c>
      <c r="H52" s="500" t="str">
        <f>IF(OR(G52&gt;=0.3,G52&lt;=-0.3),"超过30%","")</f>
        <v/>
      </c>
      <c r="I52" s="499">
        <f>IF(I47&lt;I48,I48/I47-1,I47/I48-1)</f>
        <v>2.0007846214201708E-2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f>IF(E48&lt;G48,G48/E48-1,E48/G48-1)</f>
        <v>3.8485198000768994E-2</v>
      </c>
      <c r="F53" s="500" t="str">
        <f>IF(OR(E53&gt;=0.2,E53&lt;=-0.2),"超过20%","")</f>
        <v/>
      </c>
      <c r="G53" s="499">
        <f>IF(G48&lt;I48,I48/G48-1,G48/I48-1)</f>
        <v>5.9670459003530851E-2</v>
      </c>
      <c r="H53" s="500" t="str">
        <f>IF(OR(G53&gt;=0.2,G53&lt;=-0.2),"超过20%","")</f>
        <v/>
      </c>
      <c r="I53" s="499">
        <f>IF(I48&lt;E48,E48/I48-1,I48/E48-1)</f>
        <v>2.0400156924283985E-2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f>IF(E47&lt;G47,G47/E47-1,E47/G47-1)</f>
        <v>3.8461538461538547E-2</v>
      </c>
      <c r="F54" s="500" t="str">
        <f>IF(OR(E54&gt;=0.3,E54&lt;=-0.3),"超过30%","")</f>
        <v/>
      </c>
      <c r="G54" s="499">
        <f>IF(G47&lt;I47,I47/G47-1,G47/I47-1)</f>
        <v>3.8461538461538547E-2</v>
      </c>
      <c r="H54" s="500" t="str">
        <f>IF(OR(G54&gt;=0.3,G54&lt;=-0.3),"超过30%","")</f>
        <v/>
      </c>
      <c r="I54" s="499">
        <f>IF(I47&lt;E47,E47/I47-1,I47/E47-1)</f>
        <v>0</v>
      </c>
      <c r="J54" s="500" t="str">
        <f>IF(OR(I54&gt;=0.3,I54&lt;=-0.3),"超过30%","")</f>
        <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t="str">
        <f>C9</f>
        <v>商业</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v>0</v>
      </c>
      <c r="D68" s="549">
        <v>1</v>
      </c>
      <c r="E68" s="549">
        <v>2</v>
      </c>
      <c r="F68" s="549">
        <v>3</v>
      </c>
      <c r="G68" s="549">
        <v>4</v>
      </c>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29.25" thickTop="1">
      <c r="A102" s="534"/>
      <c r="B102" s="538" t="s">
        <v>2611</v>
      </c>
      <c r="C102" s="578" t="str">
        <f>C103&amp;"(含)"&amp;"-"&amp;D103</f>
        <v>0(含)-300</v>
      </c>
      <c r="D102" s="578" t="str">
        <f t="shared" ref="D102:L102" si="23">D103&amp;"(含)"&amp;"-"&amp;E103</f>
        <v>300(含)-600</v>
      </c>
      <c r="E102" s="578" t="str">
        <f t="shared" si="23"/>
        <v>600(含)-900</v>
      </c>
      <c r="F102" s="578" t="str">
        <f t="shared" si="23"/>
        <v>900(含)-1200</v>
      </c>
      <c r="G102" s="578" t="str">
        <f t="shared" si="23"/>
        <v>1200(含)-1500</v>
      </c>
      <c r="H102" s="578" t="str">
        <f t="shared" si="23"/>
        <v>1500(含)-1800</v>
      </c>
      <c r="I102" s="578" t="str">
        <f t="shared" si="23"/>
        <v>1800(含)-2100</v>
      </c>
      <c r="J102" s="578" t="str">
        <f t="shared" si="23"/>
        <v>2100(含)-2400</v>
      </c>
      <c r="K102" s="578" t="str">
        <f t="shared" si="23"/>
        <v>2400(含)-2700</v>
      </c>
      <c r="L102" s="578" t="str">
        <f t="shared" si="23"/>
        <v>2700(含)-</v>
      </c>
      <c r="M102" s="622" t="str">
        <f>M103&amp;"(含)"&amp;"-"&amp;P103</f>
        <v>(含)-</v>
      </c>
      <c r="N102" s="1154"/>
      <c r="O102" s="1154"/>
      <c r="P102" s="2633"/>
      <c r="Q102" s="504"/>
    </row>
    <row r="103" spans="1:17" s="471" customFormat="1">
      <c r="A103" s="593"/>
      <c r="B103" s="594"/>
      <c r="C103" s="595">
        <v>0</v>
      </c>
      <c r="D103" s="595">
        <v>300</v>
      </c>
      <c r="E103" s="595">
        <v>600</v>
      </c>
      <c r="F103" s="595">
        <v>900</v>
      </c>
      <c r="G103" s="595">
        <v>1200</v>
      </c>
      <c r="H103" s="595">
        <v>1500</v>
      </c>
      <c r="I103" s="595">
        <v>1800</v>
      </c>
      <c r="J103" s="596">
        <v>2100</v>
      </c>
      <c r="K103" s="596">
        <v>2400</v>
      </c>
      <c r="L103" s="597">
        <v>2700</v>
      </c>
      <c r="M103" s="598"/>
      <c r="N103" s="1157"/>
      <c r="O103" s="1157"/>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v>82</v>
      </c>
      <c r="M104" s="537">
        <v>80</v>
      </c>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2" sqref="D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3066</v>
      </c>
      <c r="D1" s="1823" t="s">
        <v>70</v>
      </c>
      <c r="E1" s="1824" t="s">
        <v>1387</v>
      </c>
      <c r="F1" s="1286">
        <f ca="1">J53</f>
        <v>33.25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494</v>
      </c>
      <c r="C2" s="1848" t="s">
        <v>1591</v>
      </c>
      <c r="D2" s="1941">
        <f ca="1">C40+J29+L46</f>
        <v>4944139</v>
      </c>
      <c r="E2" s="1849" t="s">
        <v>1592</v>
      </c>
      <c r="F2" s="1850"/>
      <c r="G2" s="1851"/>
      <c r="H2" s="1843"/>
      <c r="I2" s="1843"/>
      <c r="J2" s="1843"/>
      <c r="K2" s="1844"/>
      <c r="L2" s="1843"/>
      <c r="M2" s="1843"/>
    </row>
    <row r="3" spans="1:37" ht="18" customHeight="1" thickBot="1">
      <c r="A3" s="1852" t="s">
        <v>1593</v>
      </c>
      <c r="B3" s="1853">
        <f ca="1">IF(ISERROR(D2/F43),0,ROUND(D2/F43,0))</f>
        <v>14131</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345228</v>
      </c>
      <c r="D5" s="1825" t="s">
        <v>1601</v>
      </c>
      <c r="E5" s="1296"/>
      <c r="F5" s="1297"/>
      <c r="G5" s="1854"/>
      <c r="H5" s="344">
        <v>1</v>
      </c>
      <c r="I5" s="345" t="s">
        <v>1600</v>
      </c>
      <c r="J5" s="1295">
        <f ca="1">J6+J10+J12</f>
        <v>0</v>
      </c>
      <c r="K5" s="1825" t="s">
        <v>1601</v>
      </c>
      <c r="L5" s="1296"/>
      <c r="M5" s="1297"/>
    </row>
    <row r="6" spans="1:37" ht="18" customHeight="1">
      <c r="A6" s="1294" t="s">
        <v>1035</v>
      </c>
      <c r="B6" s="3193" t="s">
        <v>1403</v>
      </c>
      <c r="C6" s="1299">
        <f ca="1">ROUND(F6*F8*F7*(1-F9),0)</f>
        <v>344797</v>
      </c>
      <c r="D6" s="164" t="s">
        <v>3027</v>
      </c>
      <c r="E6" s="347" t="s">
        <v>1405</v>
      </c>
      <c r="F6" s="348">
        <f ca="1">INDIRECT("'数据-取费表'!u"&amp;$G$1)</f>
        <v>3</v>
      </c>
      <c r="G6" s="1854"/>
      <c r="H6" s="1294" t="s">
        <v>1035</v>
      </c>
      <c r="I6" s="3193" t="s">
        <v>1403</v>
      </c>
      <c r="J6" s="346">
        <f ca="1">ROUND(M6*M8*M7*(1-M9),0)</f>
        <v>0</v>
      </c>
      <c r="K6" s="1837" t="s">
        <v>3028</v>
      </c>
      <c r="L6" s="347" t="s">
        <v>1405</v>
      </c>
      <c r="M6" s="348">
        <f ca="1">INDIRECT("'数据-取费表'!z"&amp;$G$1)</f>
        <v>0</v>
      </c>
    </row>
    <row r="7" spans="1:37" ht="18" customHeight="1">
      <c r="A7" s="1298"/>
      <c r="B7" s="3194"/>
      <c r="C7" s="1300"/>
      <c r="D7" s="352"/>
      <c r="E7" s="1301" t="s">
        <v>1406</v>
      </c>
      <c r="F7" s="348">
        <f ca="1">IF(INDIRECT("'数据-取费表'!ah"&amp;$G$1)="",INDIRECT("'数据-取费表'!k"&amp;$G$1),INDIRECT("'数据-取费表'!ah"&amp;$G$1))</f>
        <v>349.87</v>
      </c>
      <c r="G7" s="1854"/>
      <c r="H7" s="349"/>
      <c r="I7" s="3194"/>
      <c r="J7" s="351"/>
      <c r="K7" s="352"/>
      <c r="L7" s="347" t="s">
        <v>1406</v>
      </c>
      <c r="M7" s="348">
        <f ca="1">F7</f>
        <v>349.87</v>
      </c>
    </row>
    <row r="8" spans="1:37" ht="18" customHeight="1">
      <c r="A8" s="349"/>
      <c r="B8" s="3194"/>
      <c r="C8" s="351"/>
      <c r="D8" s="352"/>
      <c r="E8" s="347" t="s">
        <v>1407</v>
      </c>
      <c r="F8" s="348">
        <f ca="1">INDIRECT("'数据-取费表'!ai"&amp;$G$1)</f>
        <v>365</v>
      </c>
      <c r="G8" s="1854"/>
      <c r="H8" s="349"/>
      <c r="I8" s="3194"/>
      <c r="J8" s="351"/>
      <c r="K8" s="352"/>
      <c r="L8" s="347" t="s">
        <v>1407</v>
      </c>
      <c r="M8" s="348">
        <f ca="1">INDIRECT("'数据-取费表'!ai"&amp;$G$1)</f>
        <v>365</v>
      </c>
    </row>
    <row r="9" spans="1:37" ht="18" customHeight="1">
      <c r="A9" s="349"/>
      <c r="B9" s="3195"/>
      <c r="C9" s="351"/>
      <c r="D9" s="352"/>
      <c r="E9" s="347" t="s">
        <v>1408</v>
      </c>
      <c r="F9" s="357">
        <f ca="1">INDIRECT("'数据-取费表'!w"&amp;$G$1)</f>
        <v>0.1</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431</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1394845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909662</v>
      </c>
      <c r="D14" s="1803" t="s">
        <v>1418</v>
      </c>
      <c r="E14" s="1797"/>
      <c r="F14" s="364"/>
      <c r="G14" s="1854"/>
      <c r="H14" s="1204" t="s">
        <v>1035</v>
      </c>
      <c r="I14" s="347" t="s">
        <v>1419</v>
      </c>
      <c r="J14" s="24">
        <f ca="1">C29</f>
        <v>1394845</v>
      </c>
      <c r="K14" s="15"/>
      <c r="L14" s="982"/>
      <c r="M14" s="983"/>
    </row>
    <row r="15" spans="1:37" s="1861" customFormat="1" ht="18" customHeight="1" thickBot="1">
      <c r="A15" s="1204" t="s">
        <v>1036</v>
      </c>
      <c r="B15" s="347" t="s">
        <v>1420</v>
      </c>
      <c r="C15" s="24">
        <f ca="1">ROUND(C14*F15,0)</f>
        <v>27290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33625</v>
      </c>
      <c r="K16" s="1340" t="s">
        <v>1425</v>
      </c>
      <c r="L16" s="1341"/>
      <c r="M16" s="1297"/>
    </row>
    <row r="17" spans="1:37" s="1861" customFormat="1" ht="18" customHeight="1">
      <c r="A17" s="1204" t="s">
        <v>1390</v>
      </c>
      <c r="B17" s="347" t="s">
        <v>1426</v>
      </c>
      <c r="C17" s="24">
        <f ca="1">ROUND(F17*(F43+INDIRECT("'数据-取费表'!S"&amp;$G$1)),0)</f>
        <v>69974</v>
      </c>
      <c r="D17" s="347" t="s">
        <v>1427</v>
      </c>
      <c r="E17" s="347" t="s">
        <v>1428</v>
      </c>
      <c r="F17" s="26">
        <f>'数据-取费表'!B35</f>
        <v>200</v>
      </c>
      <c r="G17" s="1857"/>
      <c r="H17" s="1204" t="s">
        <v>1035</v>
      </c>
      <c r="I17" s="347" t="s">
        <v>1429</v>
      </c>
      <c r="J17" s="24">
        <f ca="1">ROUND(IF(项目基本情况!B11="自然人",J5*M17,J18+J19+J20),0)</f>
        <v>12702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13645</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1020571</v>
      </c>
      <c r="D19" s="140" t="s">
        <v>1436</v>
      </c>
      <c r="E19" s="1821"/>
      <c r="F19" s="26"/>
      <c r="G19" s="1854"/>
      <c r="H19" s="1204" t="s">
        <v>1036</v>
      </c>
      <c r="I19" s="347" t="s">
        <v>1437</v>
      </c>
      <c r="J19" s="24">
        <f ca="1">IF(K19="按租金收入计税",ROUND(J5*M19,0),ROUND(C29*M19*0.7,0))</f>
        <v>11717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20411</v>
      </c>
      <c r="D20" s="369" t="s">
        <v>1440</v>
      </c>
      <c r="E20" s="347" t="s">
        <v>1422</v>
      </c>
      <c r="F20" s="367">
        <f>'数据-取费表'!B37</f>
        <v>0.02</v>
      </c>
      <c r="G20" s="1857"/>
      <c r="H20" s="1204" t="s">
        <v>1389</v>
      </c>
      <c r="I20" s="164" t="s">
        <v>1441</v>
      </c>
      <c r="J20" s="25">
        <f ca="1">ROUND(M20*M21,0)</f>
        <v>985</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89.51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20923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36869</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-33625</v>
      </c>
      <c r="K25" s="1348" t="s">
        <v>1464</v>
      </c>
      <c r="L25" s="1349"/>
      <c r="M25" s="1350"/>
    </row>
    <row r="26" spans="1:37" ht="18" customHeight="1">
      <c r="A26" s="1204" t="s">
        <v>1034</v>
      </c>
      <c r="B26" s="347" t="s">
        <v>1465</v>
      </c>
      <c r="C26" s="24">
        <f ca="1">ROUND((C19+C20)*F26,0)</f>
        <v>208196</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1394845</v>
      </c>
      <c r="D29" s="1345"/>
      <c r="E29" s="1343"/>
      <c r="F29" s="1346"/>
      <c r="G29" s="1857"/>
      <c r="H29" s="380" t="s">
        <v>1033</v>
      </c>
      <c r="I29" s="381" t="s">
        <v>1479</v>
      </c>
      <c r="J29" s="382">
        <f ca="1">ROUND(J26/(1+F40)^F41,0)</f>
        <v>0</v>
      </c>
      <c r="K29" s="383" t="s">
        <v>1480</v>
      </c>
      <c r="L29" s="384"/>
      <c r="M29" s="385">
        <f ca="1">INDIRECT("'数据-取费表'!k"&amp;$G$1)</f>
        <v>349.87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90744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60824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18412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41427</v>
      </c>
      <c r="D33" s="3000" t="s">
        <v>3156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985</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89.51</v>
      </c>
      <c r="G35" s="1854"/>
      <c r="H35" s="745"/>
      <c r="I35" s="1863"/>
      <c r="J35" s="1864"/>
      <c r="K35" s="1865"/>
      <c r="L35" s="1862"/>
      <c r="M35" s="1862"/>
    </row>
    <row r="36" spans="1:18" ht="18" customHeight="1">
      <c r="A36" s="1355" t="s">
        <v>1039</v>
      </c>
      <c r="B36" s="347" t="s">
        <v>1449</v>
      </c>
      <c r="C36" s="24">
        <f ca="1">ROUND(C29*F36,0)</f>
        <v>20923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2092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6904.6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254484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4902851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14013</v>
      </c>
      <c r="D43" s="383" t="s">
        <v>1488</v>
      </c>
      <c r="E43" s="384" t="s">
        <v>1489</v>
      </c>
      <c r="F43" s="385">
        <f ca="1">INDIRECT("'数据-取费表'!k"&amp;$G$1)</f>
        <v>349.87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-7622553</v>
      </c>
      <c r="D45" s="1943" t="s">
        <v>1604</v>
      </c>
      <c r="E45" s="1869"/>
      <c r="F45" s="1869"/>
      <c r="O45" s="1872" t="s">
        <v>1519</v>
      </c>
      <c r="P45" s="1842"/>
      <c r="Q45" s="1842"/>
      <c r="R45" s="1842"/>
    </row>
    <row r="46" spans="1:18" s="1845" customFormat="1" ht="13.5" thickBot="1">
      <c r="A46" s="1873" t="s">
        <v>1520</v>
      </c>
      <c r="C46" s="1874">
        <f ca="1">ROUND(C45/10000,0)</f>
        <v>-762</v>
      </c>
      <c r="D46" s="1875" t="str">
        <f>C2</f>
        <v>万元</v>
      </c>
      <c r="I46" s="1876" t="s">
        <v>1521</v>
      </c>
      <c r="J46" s="1877"/>
      <c r="K46" s="1878"/>
      <c r="L46" s="1879">
        <f ca="1">IF(M47="住宅",0,IF(L48&gt;J51,L60,J60))</f>
        <v>41288</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4902851</v>
      </c>
      <c r="R47" s="1889" t="s">
        <v>1529</v>
      </c>
    </row>
    <row r="48" spans="1:18" s="1845" customFormat="1" ht="28.5" thickBot="1">
      <c r="A48" s="1363" t="s">
        <v>1135</v>
      </c>
      <c r="B48" s="345" t="s">
        <v>1401</v>
      </c>
      <c r="C48" s="1820">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f ca="1">J60</f>
        <v>41288</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1394845</v>
      </c>
      <c r="R49" s="1889" t="s">
        <v>1529</v>
      </c>
    </row>
    <row r="50" spans="1:18" s="1845" customFormat="1" ht="13.5" thickBot="1">
      <c r="A50" s="1198"/>
      <c r="B50" s="1201"/>
      <c r="C50" s="1202"/>
      <c r="D50" s="1175"/>
      <c r="E50" s="1280" t="s">
        <v>1406</v>
      </c>
      <c r="F50" s="1281">
        <f ca="1">F7</f>
        <v>349.87</v>
      </c>
      <c r="H50" s="793"/>
      <c r="I50" s="1890" t="s">
        <v>1537</v>
      </c>
      <c r="J50" s="1898">
        <f>SUMPRODUCT((I63:I65=J47)*(J62:L62=J48)*(J63:L65))</f>
        <v>60</v>
      </c>
      <c r="K50" s="1892" t="s">
        <v>1538</v>
      </c>
      <c r="L50" s="1896"/>
      <c r="M50" s="1899"/>
      <c r="O50" s="1897" t="s">
        <v>1043</v>
      </c>
      <c r="P50" s="1888" t="s">
        <v>1539</v>
      </c>
      <c r="Q50" s="1900">
        <f ca="1">J58</f>
        <v>0.44600000000000001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2293632</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91" t="s">
        <v>1548</v>
      </c>
      <c r="L53" s="3192"/>
      <c r="O53" s="1887" t="s">
        <v>1046</v>
      </c>
      <c r="P53" s="1888" t="s">
        <v>1549</v>
      </c>
      <c r="Q53" s="1889">
        <f ca="1">Q47+Q48</f>
        <v>4944139</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0.44600000000000001</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1394845</v>
      </c>
      <c r="D56" s="1917"/>
      <c r="E56" s="1918"/>
      <c r="F56" s="1910"/>
      <c r="I56" s="1919" t="s">
        <v>1554</v>
      </c>
      <c r="J56" s="1920" t="s">
        <v>3057</v>
      </c>
      <c r="K56" s="1890" t="s">
        <v>1555</v>
      </c>
      <c r="L56" s="1893" t="str">
        <f ca="1">IF(L48&lt;J51,"——",L48-J51)</f>
        <v>——</v>
      </c>
      <c r="O56" s="1887" t="s">
        <v>1040</v>
      </c>
      <c r="P56" s="1888" t="s">
        <v>1528</v>
      </c>
      <c r="Q56" s="1889">
        <f ca="1">C40+J29</f>
        <v>4902851</v>
      </c>
      <c r="R56" s="1889" t="s">
        <v>1529</v>
      </c>
    </row>
    <row r="57" spans="1:18" s="1845" customFormat="1" ht="24.75" thickBot="1">
      <c r="A57" s="1921"/>
      <c r="B57" s="1172" t="s">
        <v>1478</v>
      </c>
      <c r="C57" s="282">
        <f ca="1">C29</f>
        <v>1394845</v>
      </c>
      <c r="D57" s="1922"/>
      <c r="E57" s="1923"/>
      <c r="F57" s="1924"/>
      <c r="I57" s="1925" t="s">
        <v>1556</v>
      </c>
      <c r="J57" s="1926">
        <f ca="1">IF(OR(M47="住宅",J51&lt;L48,J56="是"),"——",J51-L48)</f>
        <v>26.75</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141167</v>
      </c>
      <c r="D58" s="1182" t="s">
        <v>1425</v>
      </c>
      <c r="E58" s="1183"/>
      <c r="F58" s="1184"/>
      <c r="I58" s="1925" t="s">
        <v>1560</v>
      </c>
      <c r="J58" s="1927">
        <f ca="1">IF(J55&lt;0.4,0.4,J55)</f>
        <v>0.44600000000000001</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118152</v>
      </c>
      <c r="D59" s="1185" t="s">
        <v>1430</v>
      </c>
      <c r="E59" s="1186" t="s">
        <v>1431</v>
      </c>
      <c r="F59" s="368" t="str">
        <f ca="1">IF(项目基本情况!B11="企业","",IF(INDIRECT("'数据-取费表'!c"&amp;$G$1)="住宅",5%,IF(F49*F50*F51/12/(1+'数据-取费表'!C42)&gt;20000,12%,7%)))</f>
        <v/>
      </c>
      <c r="I59" s="1925" t="s">
        <v>1563</v>
      </c>
      <c r="J59" s="1926">
        <f ca="1">IF(OR(M47="住宅",J51&lt;L48,J56="是"),"——",ROUND(C29*J58,0))</f>
        <v>622101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41288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117167</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985</v>
      </c>
      <c r="D62" s="1187" t="s">
        <v>1497</v>
      </c>
      <c r="E62" s="1172" t="s">
        <v>1498</v>
      </c>
      <c r="F62" s="371">
        <f t="shared" si="0"/>
        <v>11</v>
      </c>
      <c r="I62" s="1932" t="s">
        <v>1570</v>
      </c>
      <c r="J62" s="1933" t="s">
        <v>1571</v>
      </c>
      <c r="K62" s="1933" t="s">
        <v>1572</v>
      </c>
      <c r="L62" s="1933" t="s">
        <v>1573</v>
      </c>
      <c r="M62" s="1934" t="s">
        <v>1574</v>
      </c>
      <c r="O62" s="1887" t="s">
        <v>1046</v>
      </c>
      <c r="P62" s="1888" t="s">
        <v>1575</v>
      </c>
      <c r="Q62" s="1889">
        <f ca="1">Q56+Q57</f>
        <v>4902851</v>
      </c>
      <c r="R62" s="1889" t="s">
        <v>1047</v>
      </c>
    </row>
    <row r="63" spans="1:18" s="1845" customFormat="1" ht="13.5" thickBot="1">
      <c r="A63" s="372"/>
      <c r="B63" s="1178"/>
      <c r="C63" s="29"/>
      <c r="D63" s="1188"/>
      <c r="E63" s="1172" t="s">
        <v>1499</v>
      </c>
      <c r="F63" s="348">
        <f t="shared" ca="1" si="0"/>
        <v>89.51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20923</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2092</v>
      </c>
      <c r="D65" s="1186" t="s">
        <v>1454</v>
      </c>
      <c r="E65" s="1172" t="s">
        <v>1455</v>
      </c>
      <c r="F65" s="376">
        <f t="shared" ca="1" si="0"/>
        <v>1.5E-3</v>
      </c>
      <c r="I65" s="1932" t="s">
        <v>1579</v>
      </c>
      <c r="J65" s="1933">
        <v>40</v>
      </c>
      <c r="K65" s="1933">
        <v>30</v>
      </c>
      <c r="L65" s="1933">
        <v>50</v>
      </c>
      <c r="M65" s="1935">
        <v>0.02</v>
      </c>
      <c r="O65" s="1887" t="s">
        <v>1040</v>
      </c>
      <c r="P65" s="1888" t="s">
        <v>1580</v>
      </c>
      <c r="Q65" s="1889">
        <f ca="1">C40+J29</f>
        <v>4902851</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-141167</v>
      </c>
      <c r="D67" s="1185" t="s">
        <v>1464</v>
      </c>
      <c r="E67" s="1190"/>
      <c r="F67" s="1191"/>
      <c r="O67" s="1897" t="s">
        <v>1042</v>
      </c>
      <c r="P67" s="1888" t="s">
        <v>1562</v>
      </c>
      <c r="Q67" s="1936">
        <f ca="1">L51</f>
        <v>2293632</v>
      </c>
      <c r="R67" s="1889" t="s">
        <v>1582</v>
      </c>
    </row>
    <row r="68" spans="1:18" s="1845" customFormat="1" ht="16.5" thickBot="1">
      <c r="A68" s="1169" t="s">
        <v>1032</v>
      </c>
      <c r="B68" s="1170" t="s">
        <v>1485</v>
      </c>
      <c r="C68" s="346">
        <f ca="1">ROUND(C67*(1-((1+F70)/(1+F68))^F69)/(F68-F70),0)</f>
        <v>-2719702</v>
      </c>
      <c r="D68" s="1187" t="s">
        <v>1469</v>
      </c>
      <c r="E68" s="1172" t="s">
        <v>1470</v>
      </c>
      <c r="F68" s="357">
        <f ca="1">F40</f>
        <v>5.5E-2</v>
      </c>
      <c r="O68" s="1897" t="s">
        <v>1043</v>
      </c>
      <c r="P68" s="1937" t="s">
        <v>1583</v>
      </c>
      <c r="Q68" s="1889">
        <f ca="1">ROUND(Q69-Q70*Q71,0)</f>
        <v>142896</v>
      </c>
      <c r="R68" s="1889" t="s">
        <v>1051</v>
      </c>
    </row>
    <row r="69" spans="1:18" s="1845" customFormat="1" ht="13.5" thickBot="1">
      <c r="A69" s="1173"/>
      <c r="B69" s="1174"/>
      <c r="C69" s="351"/>
      <c r="D69" s="1192" t="s">
        <v>1473</v>
      </c>
      <c r="E69" s="1172" t="s">
        <v>1474</v>
      </c>
      <c r="F69" s="379">
        <f ca="1">F41</f>
        <v>33.25</v>
      </c>
      <c r="O69" s="1897" t="s">
        <v>1048</v>
      </c>
      <c r="P69" s="1937" t="s">
        <v>1584</v>
      </c>
      <c r="Q69" s="1889">
        <f ca="1">C39</f>
        <v>254484</v>
      </c>
      <c r="R69" s="1889" t="s">
        <v>1529</v>
      </c>
    </row>
    <row r="70" spans="1:18" s="1845" customFormat="1" ht="13.5" thickBot="1">
      <c r="A70" s="1176"/>
      <c r="B70" s="1177"/>
      <c r="C70" s="355"/>
      <c r="D70" s="1188"/>
      <c r="E70" s="1172" t="s">
        <v>1477</v>
      </c>
      <c r="F70" s="1278">
        <f ca="1">F42</f>
        <v>0.02</v>
      </c>
      <c r="O70" s="1897" t="s">
        <v>1049</v>
      </c>
      <c r="P70" s="1937" t="s">
        <v>1585</v>
      </c>
      <c r="Q70" s="1889">
        <f ca="1">C13</f>
        <v>1394845</v>
      </c>
      <c r="R70" s="1889" t="s">
        <v>1529</v>
      </c>
    </row>
    <row r="71" spans="1:18" s="1845" customFormat="1" ht="13.5" thickBot="1">
      <c r="A71" s="1193" t="s">
        <v>1033</v>
      </c>
      <c r="B71" s="1194" t="s">
        <v>1487</v>
      </c>
      <c r="C71" s="382">
        <f ca="1">ROUND(C68/F71,0)</f>
        <v>-7773</v>
      </c>
      <c r="D71" s="1195" t="s">
        <v>1488</v>
      </c>
      <c r="E71" s="1196" t="s">
        <v>1489</v>
      </c>
      <c r="F71" s="385">
        <f ca="1">F43</f>
        <v>349.87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111588</v>
      </c>
      <c r="D75" s="1845"/>
      <c r="E75" s="1845"/>
      <c r="F75" s="1845"/>
      <c r="K75" s="1871"/>
      <c r="L75" s="1845"/>
      <c r="O75" s="1887" t="s">
        <v>1046</v>
      </c>
      <c r="P75" s="1888" t="s">
        <v>1549</v>
      </c>
      <c r="Q75" s="1889">
        <f ca="1">Q65+Q66</f>
        <v>4902851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0.56200000000000006</v>
      </c>
    </row>
    <row r="80" spans="1:18">
      <c r="B80" s="386" t="s">
        <v>1511</v>
      </c>
      <c r="C80" s="318">
        <f ca="1">ROUND(C75/C39,3)</f>
        <v>0.438</v>
      </c>
    </row>
    <row r="81" spans="2:3">
      <c r="B81" s="314" t="s">
        <v>1512</v>
      </c>
      <c r="C81" s="282"/>
    </row>
    <row r="82" spans="2:3">
      <c r="B82" s="317" t="s">
        <v>1513</v>
      </c>
      <c r="C82" s="319">
        <f ca="1">1-C83</f>
        <v>0.71599999999999997</v>
      </c>
    </row>
    <row r="83" spans="2:3">
      <c r="B83" s="317" t="s">
        <v>1514</v>
      </c>
      <c r="C83" s="318">
        <f ca="1">ROUND(C13/C40,3)</f>
        <v>0.28399999999999997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2080</v>
      </c>
      <c r="C2" s="2569" t="s">
        <v>2517</v>
      </c>
      <c r="D2" s="2570" t="s">
        <v>2518</v>
      </c>
      <c r="E2" s="2571">
        <f>SUM(E6:E13)</f>
        <v>2644.5600000000004</v>
      </c>
    </row>
    <row r="3" spans="1:6" ht="15.75">
      <c r="A3" s="2567" t="s">
        <v>1395</v>
      </c>
      <c r="B3" s="2568">
        <f ca="1">ROUND(B2*10000/E2,0)</f>
        <v>7865</v>
      </c>
      <c r="C3" s="2569" t="s">
        <v>2525</v>
      </c>
      <c r="D3" s="2572"/>
      <c r="E3" s="2573"/>
    </row>
    <row r="4" spans="1:6" ht="15.75">
      <c r="A4" s="2574"/>
      <c r="B4" s="2572"/>
      <c r="C4" s="2572"/>
      <c r="D4" s="2572"/>
      <c r="E4" s="2573"/>
    </row>
    <row r="5" spans="1:6" ht="15">
      <c r="A5" s="2575" t="s">
        <v>2519</v>
      </c>
      <c r="B5" s="3242" t="s">
        <v>2520</v>
      </c>
      <c r="C5" s="3242"/>
      <c r="D5" s="2576"/>
      <c r="E5" s="2577" t="s">
        <v>2521</v>
      </c>
      <c r="F5" s="2578" t="s">
        <v>2522</v>
      </c>
    </row>
    <row r="6" spans="1:6">
      <c r="A6" s="2579" t="str">
        <f>'数据-取费表'!AN6</f>
        <v>收益法 (元)</v>
      </c>
      <c r="B6" s="2578">
        <f ca="1">IF(F6="是",'数据-取费表'!AO6,0)</f>
        <v>494</v>
      </c>
      <c r="C6" s="2569" t="s">
        <v>2517</v>
      </c>
      <c r="D6" s="2572"/>
      <c r="E6" s="2580">
        <f>IF(OR(A6=0,F6="否"),0,'数据-取费表'!K6+'数据-取费表'!S6)</f>
        <v>349.87</v>
      </c>
      <c r="F6" s="2581" t="s">
        <v>2523</v>
      </c>
    </row>
    <row r="7" spans="1:6">
      <c r="A7" s="2579" t="str">
        <f>'数据-取费表'!AN7</f>
        <v>收益法 (元) 办公</v>
      </c>
      <c r="B7" s="2578">
        <f ca="1">IF(F7="是",'数据-取费表'!AO7,0)</f>
        <v>1586</v>
      </c>
      <c r="C7" s="2569" t="s">
        <v>2517</v>
      </c>
      <c r="D7" s="2572"/>
      <c r="E7" s="2580">
        <f>IF(OR(A7=0,F7="否"),0,'数据-取费表'!K7+'数据-取费表'!S7)</f>
        <v>2294.6900000000005</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49" t="s">
        <v>1077</v>
      </c>
      <c r="B2" s="3250" t="s">
        <v>1078</v>
      </c>
      <c r="C2" s="3250"/>
      <c r="D2" s="1304" t="s">
        <v>1079</v>
      </c>
      <c r="E2" s="1304" t="s">
        <v>1080</v>
      </c>
      <c r="F2" s="1304" t="s">
        <v>1081</v>
      </c>
      <c r="G2" s="1304" t="s">
        <v>1082</v>
      </c>
      <c r="H2" s="1304" t="s">
        <v>1083</v>
      </c>
      <c r="I2" s="1305" t="s">
        <v>1084</v>
      </c>
    </row>
    <row r="3" spans="1:9">
      <c r="A3" s="3249"/>
      <c r="B3" s="3250" t="s">
        <v>1085</v>
      </c>
      <c r="C3" s="3250"/>
      <c r="D3" s="1306"/>
      <c r="E3" s="1304"/>
      <c r="F3" s="1307"/>
      <c r="G3" s="1307"/>
      <c r="H3" s="1308"/>
      <c r="I3" s="1309">
        <f>ROUND(D3*E3*F3*G3*H3/10000,0)</f>
        <v>0</v>
      </c>
    </row>
    <row r="4" spans="1:9">
      <c r="A4" s="3249"/>
      <c r="B4" s="3250" t="s">
        <v>1086</v>
      </c>
      <c r="C4" s="3250"/>
      <c r="D4" s="1306"/>
      <c r="E4" s="1304"/>
      <c r="F4" s="1307"/>
      <c r="G4" s="1307"/>
      <c r="H4" s="1308"/>
      <c r="I4" s="1309">
        <f t="shared" ref="I4:I9" si="0">ROUND(D4*E4*F4*G4*H4/10000,0)</f>
        <v>0</v>
      </c>
    </row>
    <row r="5" spans="1:9">
      <c r="A5" s="3249"/>
      <c r="B5" s="3250" t="s">
        <v>1087</v>
      </c>
      <c r="C5" s="3250"/>
      <c r="D5" s="1306"/>
      <c r="E5" s="1304"/>
      <c r="F5" s="1307"/>
      <c r="G5" s="1307"/>
      <c r="H5" s="1308"/>
      <c r="I5" s="1309">
        <f t="shared" si="0"/>
        <v>0</v>
      </c>
    </row>
    <row r="6" spans="1:9">
      <c r="A6" s="3249"/>
      <c r="B6" s="3250" t="s">
        <v>1088</v>
      </c>
      <c r="C6" s="3250"/>
      <c r="D6" s="1306"/>
      <c r="E6" s="1304"/>
      <c r="F6" s="1307"/>
      <c r="G6" s="1307"/>
      <c r="H6" s="1308"/>
      <c r="I6" s="1309">
        <f t="shared" si="0"/>
        <v>0</v>
      </c>
    </row>
    <row r="7" spans="1:9">
      <c r="A7" s="3249"/>
      <c r="B7" s="3250" t="s">
        <v>1089</v>
      </c>
      <c r="C7" s="3250"/>
      <c r="D7" s="1306"/>
      <c r="E7" s="1304"/>
      <c r="F7" s="1307"/>
      <c r="G7" s="1307"/>
      <c r="H7" s="1308"/>
      <c r="I7" s="1309">
        <f t="shared" si="0"/>
        <v>0</v>
      </c>
    </row>
    <row r="8" spans="1:9">
      <c r="A8" s="3249"/>
      <c r="B8" s="3250" t="s">
        <v>1090</v>
      </c>
      <c r="C8" s="3250"/>
      <c r="D8" s="1306"/>
      <c r="E8" s="1304"/>
      <c r="F8" s="1307"/>
      <c r="G8" s="1307"/>
      <c r="H8" s="1308"/>
      <c r="I8" s="1309">
        <f t="shared" si="0"/>
        <v>0</v>
      </c>
    </row>
    <row r="9" spans="1:9">
      <c r="A9" s="3249"/>
      <c r="B9" s="3250" t="s">
        <v>1091</v>
      </c>
      <c r="C9" s="3250"/>
      <c r="D9" s="1306"/>
      <c r="E9" s="1304"/>
      <c r="F9" s="1307"/>
      <c r="G9" s="1307"/>
      <c r="H9" s="1308"/>
      <c r="I9" s="1309">
        <f t="shared" si="0"/>
        <v>0</v>
      </c>
    </row>
    <row r="10" spans="1:9">
      <c r="A10" s="3249"/>
      <c r="B10" s="3251" t="s">
        <v>1092</v>
      </c>
      <c r="C10" s="3251"/>
      <c r="D10" s="1310"/>
      <c r="E10" s="1310" t="e">
        <f>ROUND(D1*10000/D10/H9,0)</f>
        <v>#DIV/0!</v>
      </c>
      <c r="F10" s="1311"/>
      <c r="G10" s="1311"/>
      <c r="H10" s="1312"/>
      <c r="I10" s="1313">
        <f>SUM(I3:I9)</f>
        <v>0</v>
      </c>
    </row>
    <row r="11" spans="1:9" ht="14.25">
      <c r="A11" s="3249" t="s">
        <v>1093</v>
      </c>
      <c r="B11" s="3250" t="s">
        <v>1094</v>
      </c>
      <c r="C11" s="3250"/>
      <c r="D11" s="1306" t="s">
        <v>1095</v>
      </c>
      <c r="E11" s="1306" t="s">
        <v>1096</v>
      </c>
      <c r="F11" s="1307" t="s">
        <v>1097</v>
      </c>
      <c r="G11" s="1307" t="s">
        <v>1083</v>
      </c>
      <c r="H11" s="1314" t="s">
        <v>1098</v>
      </c>
      <c r="I11" s="1305" t="s">
        <v>1084</v>
      </c>
    </row>
    <row r="12" spans="1:9">
      <c r="A12" s="3249"/>
      <c r="B12" s="3250" t="s">
        <v>1099</v>
      </c>
      <c r="C12" s="3250"/>
      <c r="D12" s="1306"/>
      <c r="E12" s="1306"/>
      <c r="F12" s="1307"/>
      <c r="G12" s="1308"/>
      <c r="H12" s="1315"/>
      <c r="I12" s="1305">
        <f>ROUND(D12*E12*F12*G12/10000,0)</f>
        <v>0</v>
      </c>
    </row>
    <row r="13" spans="1:9">
      <c r="A13" s="3249"/>
      <c r="B13" s="3250" t="s">
        <v>1100</v>
      </c>
      <c r="C13" s="3250"/>
      <c r="D13" s="1306"/>
      <c r="E13" s="1306"/>
      <c r="F13" s="1307"/>
      <c r="G13" s="1308"/>
      <c r="H13" s="1315"/>
      <c r="I13" s="1305">
        <f>ROUND(D13*E13*F13*G13/10000,0)</f>
        <v>0</v>
      </c>
    </row>
    <row r="14" spans="1:9">
      <c r="A14" s="3249"/>
      <c r="B14" s="3250" t="s">
        <v>1101</v>
      </c>
      <c r="C14" s="3250"/>
      <c r="D14" s="1306"/>
      <c r="E14" s="1306"/>
      <c r="F14" s="1307"/>
      <c r="G14" s="1308"/>
      <c r="H14" s="1315"/>
      <c r="I14" s="1305">
        <f>ROUND(D14*E14*F14*G14/10000,0)</f>
        <v>0</v>
      </c>
    </row>
    <row r="15" spans="1:9">
      <c r="A15" s="3249"/>
      <c r="B15" s="3251" t="s">
        <v>1092</v>
      </c>
      <c r="C15" s="3251"/>
      <c r="D15" s="1310"/>
      <c r="E15" s="1310">
        <f>SUM(E12:E14)</f>
        <v>0</v>
      </c>
      <c r="F15" s="1311"/>
      <c r="G15" s="1308"/>
      <c r="H15" s="1315"/>
      <c r="I15" s="1316">
        <f>SUM(I12:I14)</f>
        <v>0</v>
      </c>
    </row>
    <row r="16" spans="1:9" ht="24">
      <c r="A16" s="3249" t="s">
        <v>1102</v>
      </c>
      <c r="B16" s="3250" t="s">
        <v>1103</v>
      </c>
      <c r="C16" s="3250"/>
      <c r="D16" s="1306" t="s">
        <v>1079</v>
      </c>
      <c r="E16" s="1317" t="s">
        <v>1104</v>
      </c>
      <c r="F16" s="1307" t="s">
        <v>1105</v>
      </c>
      <c r="G16" s="1308" t="s">
        <v>1083</v>
      </c>
      <c r="H16" s="1314" t="s">
        <v>1098</v>
      </c>
      <c r="I16" s="1305" t="s">
        <v>1084</v>
      </c>
    </row>
    <row r="17" spans="1:9" ht="14.25">
      <c r="A17" s="3249"/>
      <c r="B17" s="3250" t="s">
        <v>1106</v>
      </c>
      <c r="C17" s="3250"/>
      <c r="D17" s="1306"/>
      <c r="E17" s="1306"/>
      <c r="F17" s="1307"/>
      <c r="G17" s="1308"/>
      <c r="H17" s="1318"/>
      <c r="I17" s="1319">
        <f>ROUND(D17*E17*F17*G17/10000,0)</f>
        <v>0</v>
      </c>
    </row>
    <row r="18" spans="1:9" ht="14.25">
      <c r="A18" s="3249"/>
      <c r="B18" s="3250" t="s">
        <v>1107</v>
      </c>
      <c r="C18" s="3250"/>
      <c r="D18" s="1306"/>
      <c r="E18" s="1306"/>
      <c r="F18" s="1307"/>
      <c r="G18" s="1308"/>
      <c r="H18" s="1318"/>
      <c r="I18" s="1319">
        <f>ROUND(D18*E18*F18*G18/10000,0)</f>
        <v>0</v>
      </c>
    </row>
    <row r="19" spans="1:9" ht="14.25">
      <c r="A19" s="3249"/>
      <c r="B19" s="3250" t="s">
        <v>1108</v>
      </c>
      <c r="C19" s="3250"/>
      <c r="D19" s="1306"/>
      <c r="E19" s="1306"/>
      <c r="F19" s="1307"/>
      <c r="G19" s="1308"/>
      <c r="H19" s="1318"/>
      <c r="I19" s="1319">
        <f>ROUND(D19*E19*F19*G19/10000,0)</f>
        <v>0</v>
      </c>
    </row>
    <row r="20" spans="1:9">
      <c r="A20" s="3249"/>
      <c r="B20" s="3251" t="s">
        <v>1092</v>
      </c>
      <c r="C20" s="3251"/>
      <c r="D20" s="1310">
        <f>SUM(D17:D19)</f>
        <v>0</v>
      </c>
      <c r="E20" s="1310"/>
      <c r="F20" s="1311"/>
      <c r="G20" s="1308"/>
      <c r="H20" s="1315"/>
      <c r="I20" s="1316">
        <f>SUM(I17:I19)</f>
        <v>0</v>
      </c>
    </row>
    <row r="21" spans="1:9">
      <c r="A21" s="3249" t="s">
        <v>1109</v>
      </c>
      <c r="B21" s="3252"/>
      <c r="C21" s="3252"/>
      <c r="D21" s="3252"/>
      <c r="E21" s="3252"/>
      <c r="F21" s="3252"/>
      <c r="G21" s="3252"/>
      <c r="H21" s="1768">
        <v>0.1</v>
      </c>
      <c r="I21" s="1313">
        <f>ROUND(I10*H21,0)</f>
        <v>0</v>
      </c>
    </row>
    <row r="22" spans="1:9" ht="14.25">
      <c r="A22" s="3253" t="s">
        <v>1110</v>
      </c>
      <c r="B22" s="3254"/>
      <c r="C22" s="3255"/>
      <c r="D22" s="1320" t="s">
        <v>1111</v>
      </c>
      <c r="E22" s="1320" t="s">
        <v>1112</v>
      </c>
      <c r="F22" s="1321" t="s">
        <v>1113</v>
      </c>
      <c r="G22" s="1321" t="s">
        <v>1114</v>
      </c>
      <c r="H22" s="1314" t="s">
        <v>1115</v>
      </c>
      <c r="I22" s="1305" t="s">
        <v>1116</v>
      </c>
    </row>
    <row r="23" spans="1:9" ht="14.25" thickBot="1">
      <c r="A23" s="3256"/>
      <c r="B23" s="3257"/>
      <c r="C23" s="3258"/>
      <c r="D23" s="1322"/>
      <c r="E23" s="1322"/>
      <c r="F23" s="1322"/>
      <c r="G23" s="1323"/>
      <c r="H23" s="1324"/>
      <c r="I23" s="1325">
        <f>ROUND(E23*D23*F23*(1-G23)/10000,0)</f>
        <v>0</v>
      </c>
    </row>
    <row r="26" spans="1:9">
      <c r="A26" s="1326" t="s">
        <v>1117</v>
      </c>
      <c r="B26" s="1326"/>
      <c r="C26" s="1326"/>
      <c r="D26" s="1326"/>
      <c r="E26" s="3246">
        <f>C27-C30-C31-C32</f>
        <v>0</v>
      </c>
      <c r="F26" s="3246"/>
      <c r="G26" s="3246"/>
      <c r="H26" s="1740" t="s">
        <v>1340</v>
      </c>
    </row>
    <row r="27" spans="1:9">
      <c r="A27" s="1327">
        <v>1</v>
      </c>
      <c r="B27" s="1328" t="s">
        <v>1118</v>
      </c>
      <c r="C27" s="1328">
        <f>C28+C29</f>
        <v>0</v>
      </c>
      <c r="D27" s="1328"/>
      <c r="E27" s="3247"/>
      <c r="F27" s="3247"/>
      <c r="G27" s="3247"/>
    </row>
    <row r="28" spans="1:9">
      <c r="A28" s="1329" t="s">
        <v>1119</v>
      </c>
      <c r="B28" s="1328" t="s">
        <v>1120</v>
      </c>
      <c r="C28" s="1328"/>
      <c r="D28" s="1328"/>
      <c r="E28" s="3247"/>
      <c r="F28" s="3247"/>
      <c r="G28" s="324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8"/>
      <c r="F32" s="3248"/>
      <c r="G32" s="3248"/>
    </row>
    <row r="33" spans="1:7" hidden="1">
      <c r="A33" s="3243" t="s">
        <v>1129</v>
      </c>
      <c r="B33" s="3244"/>
      <c r="C33" s="3244"/>
      <c r="D33" s="3245"/>
      <c r="E33" s="3246"/>
      <c r="F33" s="3246"/>
      <c r="G33" s="3246"/>
    </row>
    <row r="34" spans="1:7" hidden="1">
      <c r="A34" s="1331">
        <v>1</v>
      </c>
      <c r="B34" s="1328" t="s">
        <v>1130</v>
      </c>
      <c r="C34" s="1328"/>
      <c r="D34" s="1328"/>
      <c r="E34" s="3247"/>
      <c r="F34" s="3247"/>
      <c r="G34" s="3247"/>
    </row>
    <row r="35" spans="1:7" hidden="1">
      <c r="A35" s="1331">
        <v>2</v>
      </c>
      <c r="B35" s="1328" t="s">
        <v>1131</v>
      </c>
      <c r="C35" s="1328"/>
      <c r="D35" s="1328"/>
      <c r="E35" s="3247"/>
      <c r="F35" s="3247"/>
      <c r="G35" s="3247"/>
    </row>
    <row r="36" spans="1:7" hidden="1">
      <c r="A36" s="1331">
        <v>3</v>
      </c>
      <c r="B36" s="1328" t="s">
        <v>1132</v>
      </c>
      <c r="C36" s="1328"/>
      <c r="D36" s="1328"/>
      <c r="E36" s="3247"/>
      <c r="F36" s="3247"/>
      <c r="G36" s="3247"/>
    </row>
    <row r="37" spans="1:7" hidden="1">
      <c r="A37" s="1331">
        <v>4</v>
      </c>
      <c r="B37" s="1328" t="s">
        <v>1133</v>
      </c>
      <c r="C37" s="1328"/>
      <c r="D37" s="1328"/>
      <c r="E37" s="3247"/>
      <c r="F37" s="3247"/>
      <c r="G37" s="3247"/>
    </row>
    <row r="38" spans="1:7" hidden="1">
      <c r="A38" s="3243" t="s">
        <v>1134</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2644.5600000000004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15" t="s">
        <v>2534</v>
      </c>
      <c r="D4" s="3216"/>
      <c r="E4" s="3217" t="s">
        <v>2535</v>
      </c>
      <c r="F4" s="3218"/>
      <c r="G4" s="3215" t="s">
        <v>2536</v>
      </c>
      <c r="H4" s="3216"/>
      <c r="I4" s="3215" t="s">
        <v>2537</v>
      </c>
      <c r="J4" s="3216"/>
      <c r="K4" s="2599" t="s">
        <v>2538</v>
      </c>
      <c r="L4" s="1133"/>
      <c r="M4" s="1134"/>
      <c r="N4" s="1134"/>
      <c r="O4" s="1134"/>
      <c r="P4" s="3219" t="s">
        <v>2539</v>
      </c>
      <c r="Q4" s="3220"/>
      <c r="R4" s="3225" t="s">
        <v>2535</v>
      </c>
      <c r="S4" s="3226"/>
      <c r="T4" s="3225" t="s">
        <v>2536</v>
      </c>
      <c r="U4" s="3226"/>
      <c r="V4" s="3210" t="s">
        <v>2537</v>
      </c>
      <c r="W4" s="3210"/>
      <c r="X4" s="1816"/>
      <c r="Y4" s="3225" t="s">
        <v>2539</v>
      </c>
      <c r="Z4" s="3226"/>
      <c r="AA4" s="3212" t="s">
        <v>2535</v>
      </c>
      <c r="AB4" s="3212" t="s">
        <v>2536</v>
      </c>
      <c r="AC4" s="3212" t="s">
        <v>2537</v>
      </c>
    </row>
    <row r="5" spans="1:29" ht="15">
      <c r="A5" s="404"/>
      <c r="B5" s="405"/>
      <c r="C5" s="3264" t="s">
        <v>2540</v>
      </c>
      <c r="D5" s="3234"/>
      <c r="E5" s="3265" t="s">
        <v>2541</v>
      </c>
      <c r="F5" s="3241"/>
      <c r="G5" s="3264" t="s">
        <v>2542</v>
      </c>
      <c r="H5" s="3234"/>
      <c r="I5" s="3264" t="s">
        <v>2543</v>
      </c>
      <c r="J5" s="3234"/>
      <c r="K5" s="260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260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35" t="s">
        <v>2547</v>
      </c>
      <c r="Q7" s="3237"/>
      <c r="R7" s="770" t="s">
        <v>23</v>
      </c>
      <c r="S7" s="771">
        <f t="shared" ref="S7:S15" si="0">F7</f>
        <v>0</v>
      </c>
      <c r="T7" s="770" t="s">
        <v>23</v>
      </c>
      <c r="U7" s="771">
        <f t="shared" ref="U7:U15" si="1">H7</f>
        <v>0</v>
      </c>
      <c r="V7" s="770" t="s">
        <v>23</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35" t="s">
        <v>2550</v>
      </c>
      <c r="Q8" s="3236"/>
      <c r="R8" s="770" t="s">
        <v>23</v>
      </c>
      <c r="S8" s="771">
        <f t="shared" si="0"/>
        <v>0</v>
      </c>
      <c r="T8" s="770" t="s">
        <v>23</v>
      </c>
      <c r="U8" s="771">
        <f t="shared" si="1"/>
        <v>0</v>
      </c>
      <c r="V8" s="770" t="s">
        <v>23</v>
      </c>
      <c r="W8" s="771">
        <f t="shared" si="2"/>
        <v>0</v>
      </c>
      <c r="X8" s="772"/>
      <c r="Y8" s="3235" t="s">
        <v>2550</v>
      </c>
      <c r="Z8" s="323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8"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1"/>
      <c r="Q12" s="1798">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1"/>
      <c r="Q13" s="1798">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1"/>
      <c r="Q14" s="1798">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1" t="s">
        <v>2558</v>
      </c>
      <c r="Q15" s="1813" t="str">
        <f t="shared" si="6"/>
        <v>居住社区成熟度</v>
      </c>
      <c r="R15" s="774" t="s">
        <v>21</v>
      </c>
      <c r="S15" s="775">
        <f t="shared" si="0"/>
        <v>100</v>
      </c>
      <c r="T15" s="774" t="s">
        <v>21</v>
      </c>
      <c r="U15" s="775">
        <f t="shared" si="1"/>
        <v>100</v>
      </c>
      <c r="V15" s="774" t="s">
        <v>21</v>
      </c>
      <c r="W15" s="775">
        <f t="shared" si="2"/>
        <v>100</v>
      </c>
      <c r="X15" s="1816"/>
      <c r="Y15" s="3203"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2"/>
      <c r="Q16" s="1813"/>
      <c r="R16" s="774"/>
      <c r="S16" s="775"/>
      <c r="T16" s="774"/>
      <c r="U16" s="775"/>
      <c r="V16" s="774"/>
      <c r="W16" s="775"/>
      <c r="X16" s="1816"/>
      <c r="Y16" s="3204"/>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2"/>
      <c r="Q17" s="1813" t="str">
        <f>B17</f>
        <v>交通便捷度</v>
      </c>
      <c r="R17" s="774" t="s">
        <v>21</v>
      </c>
      <c r="S17" s="775">
        <f>F17</f>
        <v>100</v>
      </c>
      <c r="T17" s="774" t="s">
        <v>21</v>
      </c>
      <c r="U17" s="775">
        <f>H17</f>
        <v>100</v>
      </c>
      <c r="V17" s="774" t="s">
        <v>21</v>
      </c>
      <c r="W17" s="775">
        <f>J17</f>
        <v>100</v>
      </c>
      <c r="X17" s="1816"/>
      <c r="Y17" s="3204"/>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2"/>
      <c r="Q18" s="1813"/>
      <c r="R18" s="774"/>
      <c r="S18" s="775"/>
      <c r="T18" s="774"/>
      <c r="U18" s="775"/>
      <c r="V18" s="774"/>
      <c r="W18" s="775"/>
      <c r="X18" s="1816"/>
      <c r="Y18" s="3204"/>
      <c r="Z18" s="1817"/>
      <c r="AA18" s="1814">
        <v>1</v>
      </c>
      <c r="AB18" s="1814">
        <v>1</v>
      </c>
      <c r="AC18" s="1814">
        <v>1</v>
      </c>
    </row>
    <row r="19" spans="1:29" ht="42.75">
      <c r="A19" s="428"/>
      <c r="B19" s="451" t="s">
        <v>2093</v>
      </c>
      <c r="C19" s="2610"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2"/>
      <c r="Q19" s="1813" t="str">
        <f>B19</f>
        <v>公共配套设施</v>
      </c>
      <c r="R19" s="774" t="s">
        <v>21</v>
      </c>
      <c r="S19" s="775">
        <f>F19</f>
        <v>100</v>
      </c>
      <c r="T19" s="774" t="s">
        <v>21</v>
      </c>
      <c r="U19" s="775">
        <f>H19</f>
        <v>100</v>
      </c>
      <c r="V19" s="774" t="s">
        <v>21</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2"/>
      <c r="Q20" s="1813"/>
      <c r="R20" s="774"/>
      <c r="S20" s="775"/>
      <c r="T20" s="774"/>
      <c r="U20" s="775"/>
      <c r="V20" s="774"/>
      <c r="W20" s="775"/>
      <c r="X20" s="1816"/>
      <c r="Y20" s="3204"/>
      <c r="Z20" s="1817"/>
      <c r="AA20" s="1814">
        <v>1</v>
      </c>
      <c r="AB20" s="1814">
        <v>1</v>
      </c>
      <c r="AC20" s="1814">
        <v>1</v>
      </c>
    </row>
    <row r="21" spans="1:29" ht="28.5">
      <c r="A21" s="428"/>
      <c r="B21" s="1387" t="s">
        <v>2096</v>
      </c>
      <c r="C21" s="2610" t="str">
        <f>估价对象房地状况!C8</f>
        <v>估价对象所在区域基础设施七通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2"/>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2"/>
      <c r="Q22" s="1813"/>
      <c r="R22" s="774"/>
      <c r="S22" s="775"/>
      <c r="T22" s="774"/>
      <c r="U22" s="775"/>
      <c r="V22" s="774"/>
      <c r="W22" s="775"/>
      <c r="X22" s="1816"/>
      <c r="Y22" s="3204"/>
      <c r="Z22" s="1817"/>
      <c r="AA22" s="1814">
        <v>1</v>
      </c>
      <c r="AB22" s="1814">
        <v>1</v>
      </c>
      <c r="AC22" s="1814">
        <v>1</v>
      </c>
    </row>
    <row r="23" spans="1:29" ht="57">
      <c r="A23" s="428"/>
      <c r="B23" s="451" t="s">
        <v>2100</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2"/>
      <c r="Q23" s="1813" t="str">
        <f>B23</f>
        <v>自然及人文环境</v>
      </c>
      <c r="R23" s="774" t="s">
        <v>21</v>
      </c>
      <c r="S23" s="775">
        <f>F23</f>
        <v>100</v>
      </c>
      <c r="T23" s="774" t="s">
        <v>21</v>
      </c>
      <c r="U23" s="775">
        <f>H23</f>
        <v>100</v>
      </c>
      <c r="V23" s="774" t="s">
        <v>21</v>
      </c>
      <c r="W23" s="775">
        <f>J23</f>
        <v>100</v>
      </c>
      <c r="X23" s="1816"/>
      <c r="Y23" s="3204"/>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2"/>
      <c r="Q24" s="1813"/>
      <c r="R24" s="774"/>
      <c r="S24" s="775"/>
      <c r="T24" s="774"/>
      <c r="U24" s="775"/>
      <c r="V24" s="774"/>
      <c r="W24" s="775"/>
      <c r="X24" s="1816"/>
      <c r="Y24" s="3204"/>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4"/>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2"/>
      <c r="Q26" s="1813" t="str">
        <f t="shared" si="11"/>
        <v>朝向</v>
      </c>
      <c r="R26" s="774" t="s">
        <v>21</v>
      </c>
      <c r="S26" s="775">
        <f t="shared" si="12"/>
        <v>100</v>
      </c>
      <c r="T26" s="774" t="s">
        <v>21</v>
      </c>
      <c r="U26" s="775">
        <f t="shared" si="13"/>
        <v>100</v>
      </c>
      <c r="V26" s="774" t="s">
        <v>21</v>
      </c>
      <c r="W26" s="775">
        <f t="shared" si="14"/>
        <v>100</v>
      </c>
      <c r="X26" s="1816"/>
      <c r="Y26" s="320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2"/>
      <c r="Q27" s="1798">
        <f t="shared" si="11"/>
        <v>111</v>
      </c>
      <c r="R27" s="770" t="s">
        <v>21</v>
      </c>
      <c r="S27" s="771">
        <f t="shared" si="12"/>
        <v>100</v>
      </c>
      <c r="T27" s="770" t="s">
        <v>21</v>
      </c>
      <c r="U27" s="771">
        <f t="shared" si="13"/>
        <v>100</v>
      </c>
      <c r="V27" s="770" t="s">
        <v>21</v>
      </c>
      <c r="W27" s="771">
        <f t="shared" si="14"/>
        <v>100</v>
      </c>
      <c r="X27" s="772"/>
      <c r="Y27" s="320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2"/>
      <c r="Q28" s="1813">
        <f t="shared" si="11"/>
        <v>111</v>
      </c>
      <c r="R28" s="774" t="s">
        <v>21</v>
      </c>
      <c r="S28" s="775">
        <f t="shared" si="12"/>
        <v>100</v>
      </c>
      <c r="T28" s="774" t="s">
        <v>21</v>
      </c>
      <c r="U28" s="775">
        <f t="shared" si="13"/>
        <v>100</v>
      </c>
      <c r="V28" s="774" t="s">
        <v>21</v>
      </c>
      <c r="W28" s="775">
        <f t="shared" si="14"/>
        <v>100</v>
      </c>
      <c r="X28" s="1816"/>
      <c r="Y28" s="320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2"/>
      <c r="Q29" s="1813">
        <f t="shared" si="11"/>
        <v>111</v>
      </c>
      <c r="R29" s="774" t="s">
        <v>21</v>
      </c>
      <c r="S29" s="775">
        <f t="shared" si="12"/>
        <v>100</v>
      </c>
      <c r="T29" s="774" t="s">
        <v>21</v>
      </c>
      <c r="U29" s="775">
        <f t="shared" si="13"/>
        <v>100</v>
      </c>
      <c r="V29" s="774" t="s">
        <v>21</v>
      </c>
      <c r="W29" s="775">
        <f t="shared" si="14"/>
        <v>100</v>
      </c>
      <c r="X29" s="1816"/>
      <c r="Y29" s="320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2"/>
      <c r="Q30" s="1813">
        <f t="shared" si="11"/>
        <v>111</v>
      </c>
      <c r="R30" s="774" t="s">
        <v>21</v>
      </c>
      <c r="S30" s="775">
        <f t="shared" si="12"/>
        <v>100</v>
      </c>
      <c r="T30" s="774" t="s">
        <v>21</v>
      </c>
      <c r="U30" s="775">
        <f t="shared" si="13"/>
        <v>100</v>
      </c>
      <c r="V30" s="774" t="s">
        <v>21</v>
      </c>
      <c r="W30" s="775">
        <f t="shared" si="14"/>
        <v>100</v>
      </c>
      <c r="X30" s="1816"/>
      <c r="Y30" s="320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2"/>
      <c r="Q31" s="1813">
        <f t="shared" si="11"/>
        <v>111</v>
      </c>
      <c r="R31" s="774" t="s">
        <v>21</v>
      </c>
      <c r="S31" s="775">
        <f t="shared" si="12"/>
        <v>100</v>
      </c>
      <c r="T31" s="774" t="s">
        <v>21</v>
      </c>
      <c r="U31" s="775">
        <f t="shared" si="13"/>
        <v>100</v>
      </c>
      <c r="V31" s="774" t="s">
        <v>21</v>
      </c>
      <c r="W31" s="775">
        <f t="shared" si="14"/>
        <v>100</v>
      </c>
      <c r="X31" s="1816"/>
      <c r="Y31" s="3204"/>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5" t="s">
        <v>2563</v>
      </c>
      <c r="Q32" s="1813" t="str">
        <f t="shared" si="11"/>
        <v>建筑类型</v>
      </c>
      <c r="R32" s="774" t="s">
        <v>21</v>
      </c>
      <c r="S32" s="775">
        <f t="shared" si="12"/>
        <v>100</v>
      </c>
      <c r="T32" s="774" t="s">
        <v>21</v>
      </c>
      <c r="U32" s="775">
        <f t="shared" si="13"/>
        <v>100</v>
      </c>
      <c r="V32" s="774" t="s">
        <v>21</v>
      </c>
      <c r="W32" s="775">
        <f t="shared" si="14"/>
        <v>100</v>
      </c>
      <c r="X32" s="1816"/>
      <c r="Y32" s="3208"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6"/>
      <c r="Q34" s="1813" t="str">
        <f t="shared" si="11"/>
        <v>建筑结构</v>
      </c>
      <c r="R34" s="774" t="s">
        <v>21</v>
      </c>
      <c r="S34" s="775">
        <f t="shared" si="12"/>
        <v>100</v>
      </c>
      <c r="T34" s="774" t="s">
        <v>21</v>
      </c>
      <c r="U34" s="775">
        <f t="shared" si="13"/>
        <v>100</v>
      </c>
      <c r="V34" s="774" t="s">
        <v>21</v>
      </c>
      <c r="W34" s="775">
        <f t="shared" si="14"/>
        <v>100</v>
      </c>
      <c r="X34" s="1816"/>
      <c r="Y34" s="3208"/>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6"/>
      <c r="Q35" s="1813" t="str">
        <f t="shared" si="11"/>
        <v>建筑品质</v>
      </c>
      <c r="R35" s="774" t="s">
        <v>21</v>
      </c>
      <c r="S35" s="775">
        <f t="shared" si="12"/>
        <v>100</v>
      </c>
      <c r="T35" s="774" t="s">
        <v>21</v>
      </c>
      <c r="U35" s="775">
        <f t="shared" si="13"/>
        <v>100</v>
      </c>
      <c r="V35" s="774" t="s">
        <v>21</v>
      </c>
      <c r="W35" s="775">
        <f t="shared" si="14"/>
        <v>100</v>
      </c>
      <c r="X35" s="1816"/>
      <c r="Y35" s="3208"/>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6"/>
      <c r="Q36" s="1813" t="str">
        <f t="shared" si="11"/>
        <v>公共部分装修</v>
      </c>
      <c r="R36" s="774" t="s">
        <v>21</v>
      </c>
      <c r="S36" s="775">
        <f t="shared" si="12"/>
        <v>100</v>
      </c>
      <c r="T36" s="774" t="s">
        <v>21</v>
      </c>
      <c r="U36" s="775">
        <f t="shared" si="13"/>
        <v>100</v>
      </c>
      <c r="V36" s="774" t="s">
        <v>21</v>
      </c>
      <c r="W36" s="775">
        <f t="shared" si="14"/>
        <v>100</v>
      </c>
      <c r="X36" s="1816"/>
      <c r="Y36" s="3208"/>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6"/>
      <c r="Q37" s="1798"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6" t="s">
        <v>2563</v>
      </c>
      <c r="Q38" s="1813" t="str">
        <f t="shared" si="11"/>
        <v>物业管理</v>
      </c>
      <c r="R38" s="774" t="s">
        <v>21</v>
      </c>
      <c r="S38" s="775">
        <f t="shared" si="12"/>
        <v>100</v>
      </c>
      <c r="T38" s="774" t="s">
        <v>21</v>
      </c>
      <c r="U38" s="775">
        <f t="shared" si="13"/>
        <v>100</v>
      </c>
      <c r="V38" s="774" t="s">
        <v>21</v>
      </c>
      <c r="W38" s="775">
        <f t="shared" si="14"/>
        <v>100</v>
      </c>
      <c r="X38" s="1816"/>
      <c r="Y38" s="3208"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6"/>
      <c r="Q39" s="1813" t="str">
        <f t="shared" si="11"/>
        <v>市政基础设施</v>
      </c>
      <c r="R39" s="774" t="s">
        <v>21</v>
      </c>
      <c r="S39" s="775">
        <f t="shared" si="12"/>
        <v>100</v>
      </c>
      <c r="T39" s="774" t="s">
        <v>21</v>
      </c>
      <c r="U39" s="775">
        <f t="shared" si="13"/>
        <v>100</v>
      </c>
      <c r="V39" s="774" t="s">
        <v>21</v>
      </c>
      <c r="W39" s="775">
        <f t="shared" si="14"/>
        <v>100</v>
      </c>
      <c r="X39" s="1816"/>
      <c r="Y39" s="3208"/>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6"/>
      <c r="Q40" s="1813" t="str">
        <f t="shared" si="11"/>
        <v>房型</v>
      </c>
      <c r="R40" s="774" t="s">
        <v>21</v>
      </c>
      <c r="S40" s="775">
        <f t="shared" si="12"/>
        <v>100</v>
      </c>
      <c r="T40" s="774" t="s">
        <v>21</v>
      </c>
      <c r="U40" s="775">
        <f t="shared" si="13"/>
        <v>100</v>
      </c>
      <c r="V40" s="774" t="s">
        <v>21</v>
      </c>
      <c r="W40" s="775">
        <f t="shared" si="14"/>
        <v>100</v>
      </c>
      <c r="X40" s="1816"/>
      <c r="Y40" s="3208"/>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6"/>
      <c r="Q42" s="1813" t="str">
        <f t="shared" si="11"/>
        <v>内部装修</v>
      </c>
      <c r="R42" s="774" t="s">
        <v>21</v>
      </c>
      <c r="S42" s="775">
        <f t="shared" si="12"/>
        <v>100</v>
      </c>
      <c r="T42" s="774" t="s">
        <v>21</v>
      </c>
      <c r="U42" s="775">
        <f t="shared" si="13"/>
        <v>100</v>
      </c>
      <c r="V42" s="774" t="s">
        <v>21</v>
      </c>
      <c r="W42" s="775">
        <f t="shared" si="14"/>
        <v>100</v>
      </c>
      <c r="X42" s="1816"/>
      <c r="Y42" s="3208"/>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6"/>
      <c r="Q43" s="1813" t="str">
        <f t="shared" si="11"/>
        <v>内部装修维护情况</v>
      </c>
      <c r="R43" s="774" t="s">
        <v>21</v>
      </c>
      <c r="S43" s="775">
        <f t="shared" si="12"/>
        <v>100</v>
      </c>
      <c r="T43" s="774" t="s">
        <v>21</v>
      </c>
      <c r="U43" s="775">
        <f t="shared" si="13"/>
        <v>100</v>
      </c>
      <c r="V43" s="774" t="s">
        <v>21</v>
      </c>
      <c r="W43" s="775">
        <f t="shared" si="14"/>
        <v>100</v>
      </c>
      <c r="X43" s="1816"/>
      <c r="Y43" s="320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6"/>
      <c r="Q44" s="1798">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6"/>
      <c r="Q45" s="1813">
        <f t="shared" si="11"/>
        <v>111</v>
      </c>
      <c r="R45" s="774" t="s">
        <v>21</v>
      </c>
      <c r="S45" s="775">
        <f t="shared" si="12"/>
        <v>100</v>
      </c>
      <c r="T45" s="774" t="s">
        <v>21</v>
      </c>
      <c r="U45" s="775">
        <f t="shared" si="13"/>
        <v>100</v>
      </c>
      <c r="V45" s="774" t="s">
        <v>21</v>
      </c>
      <c r="W45" s="775">
        <f t="shared" si="14"/>
        <v>100</v>
      </c>
      <c r="X45" s="1816"/>
      <c r="Y45" s="3208"/>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7"/>
      <c r="Q46" s="1813">
        <f t="shared" si="11"/>
        <v>111</v>
      </c>
      <c r="R46" s="774" t="s">
        <v>20</v>
      </c>
      <c r="S46" s="775">
        <f t="shared" si="12"/>
        <v>100</v>
      </c>
      <c r="T46" s="774" t="s">
        <v>20</v>
      </c>
      <c r="U46" s="775">
        <f t="shared" si="13"/>
        <v>100</v>
      </c>
      <c r="V46" s="774" t="s">
        <v>20</v>
      </c>
      <c r="W46" s="775">
        <f t="shared" si="14"/>
        <v>100</v>
      </c>
      <c r="X46" s="1816"/>
      <c r="Y46" s="3209"/>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196" t="str">
        <f>A47</f>
        <v>成交单价（元/平方米）</v>
      </c>
      <c r="Q47" s="3196"/>
      <c r="R47" s="3197">
        <f>E47</f>
        <v>0</v>
      </c>
      <c r="S47" s="3197"/>
      <c r="T47" s="3197">
        <f>G47</f>
        <v>0</v>
      </c>
      <c r="U47" s="3197"/>
      <c r="V47" s="3197">
        <f>I47</f>
        <v>0</v>
      </c>
      <c r="W47" s="3197"/>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L104" sqref="L10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t="s">
        <v>3077</v>
      </c>
      <c r="E1" s="1633"/>
      <c r="F1" s="2587" t="s">
        <v>3071</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IF(C2="——",ROUND(C50*D3/10000,0),ROUND(C50*D3/10000,0)-D2)</f>
        <v>1816</v>
      </c>
      <c r="C2" s="2589" t="s">
        <v>70</v>
      </c>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7914</v>
      </c>
      <c r="C3" s="400" t="s">
        <v>2642</v>
      </c>
      <c r="D3" s="399">
        <f>IF(D1="",'数据-汇总表'!E3,SUMIF('数据-汇总表'!$C19:$C33,D1,'数据-汇总表'!$E19:$E33))</f>
        <v>2294.6900000000005</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72" t="s">
        <v>2649</v>
      </c>
      <c r="Q4" s="3273"/>
      <c r="R4" s="3276" t="s">
        <v>2645</v>
      </c>
      <c r="S4" s="3277"/>
      <c r="T4" s="3276" t="s">
        <v>2646</v>
      </c>
      <c r="U4" s="3277"/>
      <c r="V4" s="3278" t="s">
        <v>2647</v>
      </c>
      <c r="W4" s="3278"/>
      <c r="X4" s="2673"/>
      <c r="Y4" s="3276" t="s">
        <v>2649</v>
      </c>
      <c r="Z4" s="3277"/>
      <c r="AA4" s="3280" t="s">
        <v>2645</v>
      </c>
      <c r="AB4" s="3280" t="s">
        <v>2646</v>
      </c>
      <c r="AC4" s="3269" t="s">
        <v>2647</v>
      </c>
    </row>
    <row r="5" spans="1:29" ht="15">
      <c r="A5" s="404"/>
      <c r="B5" s="405"/>
      <c r="C5" s="3264" t="s">
        <v>2540</v>
      </c>
      <c r="D5" s="3234"/>
      <c r="E5" s="3265" t="s">
        <v>2541</v>
      </c>
      <c r="F5" s="3241"/>
      <c r="G5" s="3264" t="s">
        <v>2542</v>
      </c>
      <c r="H5" s="3234"/>
      <c r="I5" s="3233" t="s">
        <v>3117</v>
      </c>
      <c r="J5" s="3234"/>
      <c r="K5" s="610"/>
      <c r="L5" s="1133"/>
      <c r="M5" s="1134"/>
      <c r="N5" s="1134"/>
      <c r="O5" s="1134"/>
      <c r="P5" s="3274"/>
      <c r="Q5" s="3222"/>
      <c r="R5" s="3227"/>
      <c r="S5" s="3228"/>
      <c r="T5" s="3227"/>
      <c r="U5" s="3228"/>
      <c r="V5" s="3210"/>
      <c r="W5" s="3210"/>
      <c r="X5" s="1816"/>
      <c r="Y5" s="3227"/>
      <c r="Z5" s="3228"/>
      <c r="AA5" s="3213"/>
      <c r="AB5" s="3213"/>
      <c r="AC5" s="3270"/>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75"/>
      <c r="Q6" s="3224"/>
      <c r="R6" s="3227"/>
      <c r="S6" s="3228"/>
      <c r="T6" s="3229"/>
      <c r="U6" s="3230"/>
      <c r="V6" s="3210"/>
      <c r="W6" s="3210"/>
      <c r="X6" s="1816"/>
      <c r="Y6" s="3229"/>
      <c r="Z6" s="3230"/>
      <c r="AA6" s="3214"/>
      <c r="AB6" s="3214"/>
      <c r="AC6" s="3271"/>
    </row>
    <row r="7" spans="1:29" s="117" customFormat="1" ht="15.75" thickBot="1">
      <c r="A7" s="408" t="s">
        <v>2546</v>
      </c>
      <c r="B7" s="409"/>
      <c r="C7" s="410">
        <f>'数据-取费表'!B2</f>
        <v>43214</v>
      </c>
      <c r="D7" s="411">
        <v>100</v>
      </c>
      <c r="E7" s="412">
        <v>43191</v>
      </c>
      <c r="F7" s="413">
        <f>SUMIF(59:59,YEAR(E7)&amp;"-"&amp;MONTH(E7),60:60)</f>
        <v>100</v>
      </c>
      <c r="G7" s="412">
        <v>43191</v>
      </c>
      <c r="H7" s="411">
        <f>SUMIF(59:59,YEAR(G7)&amp;"-"&amp;MONTH(G7),60:60)</f>
        <v>100</v>
      </c>
      <c r="I7" s="412">
        <v>43191</v>
      </c>
      <c r="J7" s="411">
        <f>SUMIF(59:59,YEAR(I7)&amp;"-"&amp;MONTH(I7),60:60)</f>
        <v>100</v>
      </c>
      <c r="K7" s="611"/>
      <c r="L7" s="1135"/>
      <c r="M7" s="1136"/>
      <c r="N7" s="1136"/>
      <c r="O7" s="1136"/>
      <c r="P7" s="3279" t="s">
        <v>2547</v>
      </c>
      <c r="Q7" s="3237"/>
      <c r="R7" s="770" t="s">
        <v>17</v>
      </c>
      <c r="S7" s="771">
        <f t="shared" ref="S7:S15" si="0">F7</f>
        <v>100</v>
      </c>
      <c r="T7" s="770" t="s">
        <v>17</v>
      </c>
      <c r="U7" s="771">
        <f t="shared" ref="U7:U15" si="1">H7</f>
        <v>100</v>
      </c>
      <c r="V7" s="770" t="s">
        <v>17</v>
      </c>
      <c r="W7" s="771">
        <f t="shared" ref="W7:W15" si="2">J7</f>
        <v>100</v>
      </c>
      <c r="X7" s="772"/>
      <c r="Y7" s="3235" t="s">
        <v>2547</v>
      </c>
      <c r="Z7" s="3236"/>
      <c r="AA7" s="773">
        <f>D7/F7</f>
        <v>1</v>
      </c>
      <c r="AB7" s="773">
        <f>D7/H7</f>
        <v>1</v>
      </c>
      <c r="AC7" s="2674">
        <f>D7/J7</f>
        <v>1</v>
      </c>
    </row>
    <row r="8" spans="1:29" s="117" customFormat="1" ht="15.75" thickBot="1">
      <c r="A8" s="408" t="s">
        <v>2548</v>
      </c>
      <c r="B8" s="409"/>
      <c r="C8" s="414" t="s">
        <v>2650</v>
      </c>
      <c r="D8" s="411">
        <v>100</v>
      </c>
      <c r="E8" s="2968" t="s">
        <v>3078</v>
      </c>
      <c r="F8" s="413">
        <f>SUMIF(62:62,E8,63:63)-SUMIF(62:62,C8,63:63)+100</f>
        <v>100</v>
      </c>
      <c r="G8" s="2968" t="s">
        <v>3078</v>
      </c>
      <c r="H8" s="411">
        <f>SUMIF(62:62,G8,63:63)-SUMIF(62:62,C8,63:63)+100</f>
        <v>100</v>
      </c>
      <c r="I8" s="2968" t="s">
        <v>3078</v>
      </c>
      <c r="J8" s="411">
        <f>SUMIF(62:62,I8,63:63)-SUMIF(62:62,C8,63:63)+100</f>
        <v>100</v>
      </c>
      <c r="K8" s="611"/>
      <c r="L8" s="1135"/>
      <c r="M8" s="1136"/>
      <c r="N8" s="1136"/>
      <c r="O8" s="1136"/>
      <c r="P8" s="3279" t="s">
        <v>2550</v>
      </c>
      <c r="Q8" s="3236"/>
      <c r="R8" s="770" t="s">
        <v>17</v>
      </c>
      <c r="S8" s="771">
        <f t="shared" si="0"/>
        <v>100</v>
      </c>
      <c r="T8" s="770" t="s">
        <v>17</v>
      </c>
      <c r="U8" s="771">
        <f t="shared" si="1"/>
        <v>100</v>
      </c>
      <c r="V8" s="770" t="s">
        <v>17</v>
      </c>
      <c r="W8" s="771">
        <f t="shared" si="2"/>
        <v>100</v>
      </c>
      <c r="X8" s="772"/>
      <c r="Y8" s="3235" t="s">
        <v>2550</v>
      </c>
      <c r="Z8" s="3236"/>
      <c r="AA8" s="773">
        <f t="shared" ref="AA8:AA47" si="3">D8/F8</f>
        <v>1</v>
      </c>
      <c r="AB8" s="773">
        <f t="shared" ref="AB8:AB47" si="4">D8/H8</f>
        <v>1</v>
      </c>
      <c r="AC8" s="2674">
        <f t="shared" ref="AC8:AC47" si="5">D8/J8</f>
        <v>1</v>
      </c>
    </row>
    <row r="9" spans="1:29" s="117" customFormat="1">
      <c r="A9" s="415" t="s">
        <v>2551</v>
      </c>
      <c r="B9" s="71" t="s">
        <v>2552</v>
      </c>
      <c r="C9" s="2969" t="s">
        <v>3079</v>
      </c>
      <c r="D9" s="135">
        <v>100</v>
      </c>
      <c r="E9" s="2970" t="s">
        <v>3079</v>
      </c>
      <c r="F9" s="135">
        <f>SUMIF(64:64,E9,65:65)-SUMIF(64:64,C9,65:65)+100</f>
        <v>100</v>
      </c>
      <c r="G9" s="2971" t="s">
        <v>3079</v>
      </c>
      <c r="H9" s="135">
        <f>SUMIF(64:64,G9,65:65)-SUMIF(64:64,C9,65:65)+100</f>
        <v>100</v>
      </c>
      <c r="I9" s="2971" t="s">
        <v>3079</v>
      </c>
      <c r="J9" s="135">
        <f>SUMIF(64:64,I9,65:65)-SUMIF(64:64,C9,65:65)+100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2674">
        <f t="shared" si="5"/>
        <v>1</v>
      </c>
    </row>
    <row r="10" spans="1:29" s="427" customFormat="1" ht="27.75" thickBot="1">
      <c r="A10" s="421"/>
      <c r="B10" s="422" t="s">
        <v>2555</v>
      </c>
      <c r="C10" s="423" t="s">
        <v>3080</v>
      </c>
      <c r="D10" s="136">
        <v>100</v>
      </c>
      <c r="E10" s="423" t="s">
        <v>3080</v>
      </c>
      <c r="F10" s="136">
        <f>SUMIF(66:66,E10,67:67)-SUMIF(66:66,C10,67:67)+100</f>
        <v>100</v>
      </c>
      <c r="G10" s="424" t="s">
        <v>3080</v>
      </c>
      <c r="H10" s="136">
        <f>SUMIF(66:66,G10,67:67)-SUMIF(66:66,C10,67:67)+100</f>
        <v>100</v>
      </c>
      <c r="I10" s="423" t="s">
        <v>3080</v>
      </c>
      <c r="J10" s="136">
        <f>SUMIF(66:66,I10,67:67)-SUMIF(66:66,C10,67:67)+100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4">
        <f t="shared" si="5"/>
        <v>1</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4">
        <f t="shared" si="5"/>
        <v>1</v>
      </c>
    </row>
    <row r="15" spans="1:29" ht="67.5">
      <c r="A15" s="440" t="s">
        <v>2557</v>
      </c>
      <c r="B15" s="629" t="s">
        <v>2685</v>
      </c>
      <c r="C15" s="2676" t="str">
        <f>估价对象房地状况!C5</f>
        <v>估价对象周边办公楼项目数量一般，入驻率较高，办公集聚程度一般</v>
      </c>
      <c r="D15" s="441">
        <v>100</v>
      </c>
      <c r="E15" s="2987" t="s">
        <v>3119</v>
      </c>
      <c r="F15" s="441">
        <f>SUMIF(77:77,E16,78:78)-SUMIF(77:77,C16,78:78)+100</f>
        <v>100</v>
      </c>
      <c r="G15" s="2986" t="s">
        <v>3119</v>
      </c>
      <c r="H15" s="441">
        <f>SUMIF(77:77,G16,78:78)-SUMIF(77:77,C16,78:78)+100</f>
        <v>100</v>
      </c>
      <c r="I15" s="2986" t="s">
        <v>3119</v>
      </c>
      <c r="J15" s="441">
        <f>SUMIF(77:77,I16,78:78)-SUMIF(77:77,C16,78:78)+100</f>
        <v>100</v>
      </c>
      <c r="K15" s="614">
        <v>2</v>
      </c>
      <c r="L15" s="1143"/>
      <c r="M15" s="1134"/>
      <c r="N15" s="1134"/>
      <c r="O15" s="1134"/>
      <c r="P15" s="3201" t="s">
        <v>2558</v>
      </c>
      <c r="Q15" s="1813" t="str">
        <f t="shared" si="6"/>
        <v>办公集聚程度</v>
      </c>
      <c r="R15" s="774" t="s">
        <v>17</v>
      </c>
      <c r="S15" s="775">
        <f t="shared" si="0"/>
        <v>100</v>
      </c>
      <c r="T15" s="774" t="s">
        <v>17</v>
      </c>
      <c r="U15" s="775">
        <f t="shared" si="1"/>
        <v>100</v>
      </c>
      <c r="V15" s="774" t="s">
        <v>17</v>
      </c>
      <c r="W15" s="775">
        <f t="shared" si="2"/>
        <v>100</v>
      </c>
      <c r="X15" s="1816"/>
      <c r="Y15" s="3203" t="s">
        <v>2558</v>
      </c>
      <c r="Z15" s="1817" t="str">
        <f t="shared" si="7"/>
        <v>办公集聚程度</v>
      </c>
      <c r="AA15" s="1814">
        <f t="shared" si="3"/>
        <v>1</v>
      </c>
      <c r="AB15" s="1814">
        <f t="shared" si="4"/>
        <v>1</v>
      </c>
      <c r="AC15" s="2677">
        <f t="shared" si="5"/>
        <v>1</v>
      </c>
    </row>
    <row r="16" spans="1:29" ht="15">
      <c r="A16" s="428"/>
      <c r="B16" s="630"/>
      <c r="C16" s="2614" t="s">
        <v>3088</v>
      </c>
      <c r="D16" s="448"/>
      <c r="E16" s="447" t="s">
        <v>3088</v>
      </c>
      <c r="F16" s="448"/>
      <c r="G16" s="2614" t="s">
        <v>3088</v>
      </c>
      <c r="H16" s="450"/>
      <c r="I16" s="447" t="s">
        <v>3088</v>
      </c>
      <c r="J16" s="448"/>
      <c r="K16" s="615"/>
      <c r="L16" s="1143"/>
      <c r="M16" s="1134"/>
      <c r="N16" s="1134"/>
      <c r="O16" s="1134"/>
      <c r="P16" s="3202"/>
      <c r="Q16" s="1813"/>
      <c r="R16" s="774"/>
      <c r="S16" s="775"/>
      <c r="T16" s="774"/>
      <c r="U16" s="775"/>
      <c r="V16" s="774"/>
      <c r="W16" s="775"/>
      <c r="X16" s="1816"/>
      <c r="Y16" s="3204"/>
      <c r="Z16" s="1817"/>
      <c r="AA16" s="1814">
        <v>1</v>
      </c>
      <c r="AB16" s="1814">
        <v>1</v>
      </c>
      <c r="AC16" s="2677">
        <v>1</v>
      </c>
    </row>
    <row r="17" spans="1:29" ht="81">
      <c r="A17" s="428"/>
      <c r="B17" s="631" t="s">
        <v>2095</v>
      </c>
      <c r="C17" s="2678" t="str">
        <f>估价对象房地状况!C6</f>
        <v>估价对象周边道路状况、公共交通通达情况、停车便捷程度，综合评价交通便捷度较好</v>
      </c>
      <c r="D17" s="450">
        <v>100</v>
      </c>
      <c r="E17" s="2990" t="s">
        <v>3125</v>
      </c>
      <c r="F17" s="450">
        <f>SUMIF(79:79,E18,80:80)-SUMIF(79:79,C18,80:80)+100</f>
        <v>100</v>
      </c>
      <c r="G17" s="2989" t="s">
        <v>3124</v>
      </c>
      <c r="H17" s="455">
        <f>SUMIF(79:79,G18,80:80)-SUMIF(79:79,C18,80:80)+100</f>
        <v>98</v>
      </c>
      <c r="I17" s="2989" t="s">
        <v>3123</v>
      </c>
      <c r="J17" s="455">
        <f>SUMIF(79:79,I18,80:80)-SUMIF(79:79,C18,80:80)+100</f>
        <v>100</v>
      </c>
      <c r="K17" s="614">
        <v>2</v>
      </c>
      <c r="L17" s="1143"/>
      <c r="M17" s="1134"/>
      <c r="N17" s="1134"/>
      <c r="O17" s="1134"/>
      <c r="P17" s="3202"/>
      <c r="Q17" s="1813" t="str">
        <f>B17</f>
        <v>交通便捷度</v>
      </c>
      <c r="R17" s="774" t="s">
        <v>17</v>
      </c>
      <c r="S17" s="775">
        <f>F17</f>
        <v>100</v>
      </c>
      <c r="T17" s="774" t="s">
        <v>17</v>
      </c>
      <c r="U17" s="775">
        <f>H17</f>
        <v>98</v>
      </c>
      <c r="V17" s="774" t="s">
        <v>17</v>
      </c>
      <c r="W17" s="775">
        <f>J17</f>
        <v>100</v>
      </c>
      <c r="X17" s="1816"/>
      <c r="Y17" s="3204"/>
      <c r="Z17" s="1817" t="str">
        <f>Q17</f>
        <v>交通便捷度</v>
      </c>
      <c r="AA17" s="1814">
        <f t="shared" si="3"/>
        <v>1</v>
      </c>
      <c r="AB17" s="1814">
        <f t="shared" si="4"/>
        <v>1.0204081632653061</v>
      </c>
      <c r="AC17" s="2677">
        <f t="shared" si="5"/>
        <v>1</v>
      </c>
    </row>
    <row r="18" spans="1:29" ht="15">
      <c r="A18" s="428"/>
      <c r="B18" s="632"/>
      <c r="C18" s="2679" t="s">
        <v>3089</v>
      </c>
      <c r="D18" s="450"/>
      <c r="E18" s="2612" t="s">
        <v>3089</v>
      </c>
      <c r="F18" s="450"/>
      <c r="G18" s="2613" t="s">
        <v>3088</v>
      </c>
      <c r="H18" s="448"/>
      <c r="I18" s="2613" t="s">
        <v>3089</v>
      </c>
      <c r="J18" s="448"/>
      <c r="K18" s="615"/>
      <c r="L18" s="1143"/>
      <c r="M18" s="1134"/>
      <c r="N18" s="1134"/>
      <c r="O18" s="1134"/>
      <c r="P18" s="3202"/>
      <c r="Q18" s="1813"/>
      <c r="R18" s="774"/>
      <c r="S18" s="775"/>
      <c r="T18" s="774"/>
      <c r="U18" s="775"/>
      <c r="V18" s="774"/>
      <c r="W18" s="775"/>
      <c r="X18" s="1816"/>
      <c r="Y18" s="3204"/>
      <c r="Z18" s="1817"/>
      <c r="AA18" s="1814">
        <v>1</v>
      </c>
      <c r="AB18" s="1814">
        <v>1</v>
      </c>
      <c r="AC18" s="2677">
        <v>1</v>
      </c>
    </row>
    <row r="19" spans="1:29" ht="42.75">
      <c r="A19" s="428"/>
      <c r="B19" s="631" t="s">
        <v>2686</v>
      </c>
      <c r="C19" s="2678" t="str">
        <f>估价对象房地状况!C7</f>
        <v>估价对象所在区域公共配套设施较齐备</v>
      </c>
      <c r="D19" s="455">
        <v>100</v>
      </c>
      <c r="E19" s="2992" t="s">
        <v>3130</v>
      </c>
      <c r="F19" s="455">
        <f>SUMIF(81:81,E20,82:82)-SUMIF(81:81,C20,82:82)+100</f>
        <v>100</v>
      </c>
      <c r="G19" s="2991" t="s">
        <v>3130</v>
      </c>
      <c r="H19" s="450">
        <f>SUMIF(81:81,G20,82:82)-SUMIF(81:81,C20,82:82)+100</f>
        <v>100</v>
      </c>
      <c r="I19" s="2991" t="s">
        <v>3130</v>
      </c>
      <c r="J19" s="450">
        <f>SUMIF(81:81,I20,82:82)-SUMIF(81:81,C20,82:82)+100</f>
        <v>100</v>
      </c>
      <c r="K19" s="614">
        <v>2</v>
      </c>
      <c r="L19" s="1143"/>
      <c r="M19" s="1134"/>
      <c r="N19" s="1134"/>
      <c r="O19" s="1134"/>
      <c r="P19" s="3202"/>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2677">
        <f t="shared" si="5"/>
        <v>1</v>
      </c>
    </row>
    <row r="20" spans="1:29" ht="15">
      <c r="A20" s="428"/>
      <c r="B20" s="632"/>
      <c r="C20" s="2614" t="s">
        <v>3089</v>
      </c>
      <c r="D20" s="448"/>
      <c r="E20" s="2607" t="s">
        <v>3089</v>
      </c>
      <c r="F20" s="448"/>
      <c r="G20" s="2608" t="s">
        <v>3089</v>
      </c>
      <c r="H20" s="448"/>
      <c r="I20" s="2608" t="s">
        <v>3089</v>
      </c>
      <c r="J20" s="448"/>
      <c r="K20" s="615"/>
      <c r="L20" s="1143"/>
      <c r="M20" s="1134"/>
      <c r="N20" s="1134"/>
      <c r="O20" s="1134"/>
      <c r="P20" s="3202"/>
      <c r="Q20" s="1813"/>
      <c r="R20" s="774"/>
      <c r="S20" s="775"/>
      <c r="T20" s="774"/>
      <c r="U20" s="775"/>
      <c r="V20" s="774"/>
      <c r="W20" s="775"/>
      <c r="X20" s="1816"/>
      <c r="Y20" s="3204"/>
      <c r="Z20" s="1817"/>
      <c r="AA20" s="1814">
        <v>1</v>
      </c>
      <c r="AB20" s="1814">
        <v>1</v>
      </c>
      <c r="AC20" s="2677">
        <v>1</v>
      </c>
    </row>
    <row r="21" spans="1:29" ht="28.5">
      <c r="A21" s="428"/>
      <c r="B21" s="633" t="s">
        <v>2687</v>
      </c>
      <c r="C21" s="2678" t="str">
        <f>估价对象房地状况!C8</f>
        <v>估价对象所在区域基础设施七通</v>
      </c>
      <c r="D21" s="450">
        <v>100</v>
      </c>
      <c r="E21" s="2992" t="s">
        <v>3133</v>
      </c>
      <c r="F21" s="455">
        <f>SUMIF(83:83,E22,84:84)-SUMIF(83:83,C22,84:84)+100</f>
        <v>100</v>
      </c>
      <c r="G21" s="2991" t="s">
        <v>3133</v>
      </c>
      <c r="H21" s="450">
        <f>SUMIF(83:83,G22,84:84)-SUMIF(83:83,C22,84:84)+100</f>
        <v>100</v>
      </c>
      <c r="I21" s="2991" t="s">
        <v>3134</v>
      </c>
      <c r="J21" s="450">
        <f>SUMIF(83:83,I22,84:84)-SUMIF(83:83,C22,84:84)+100</f>
        <v>100</v>
      </c>
      <c r="K21" s="614">
        <v>2</v>
      </c>
      <c r="L21" s="1143"/>
      <c r="M21" s="1134"/>
      <c r="N21" s="1134"/>
      <c r="O21" s="1134"/>
      <c r="P21" s="3202"/>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2677">
        <f t="shared" ref="AC21" si="10">D21/J21</f>
        <v>1</v>
      </c>
    </row>
    <row r="22" spans="1:29" ht="15">
      <c r="A22" s="428"/>
      <c r="B22" s="633"/>
      <c r="C22" s="2679" t="s">
        <v>3090</v>
      </c>
      <c r="D22" s="448"/>
      <c r="E22" s="2973" t="s">
        <v>3105</v>
      </c>
      <c r="F22" s="448"/>
      <c r="G22" s="2982" t="s">
        <v>3105</v>
      </c>
      <c r="H22" s="448"/>
      <c r="I22" s="2982" t="s">
        <v>3105</v>
      </c>
      <c r="J22" s="448"/>
      <c r="K22" s="1386"/>
      <c r="L22" s="1143"/>
      <c r="M22" s="1134"/>
      <c r="N22" s="1134"/>
      <c r="O22" s="1134"/>
      <c r="P22" s="3202"/>
      <c r="Q22" s="1813"/>
      <c r="R22" s="774"/>
      <c r="S22" s="775"/>
      <c r="T22" s="774"/>
      <c r="U22" s="775"/>
      <c r="V22" s="774"/>
      <c r="W22" s="775"/>
      <c r="X22" s="1816"/>
      <c r="Y22" s="3204"/>
      <c r="Z22" s="1817"/>
      <c r="AA22" s="1814">
        <v>1</v>
      </c>
      <c r="AB22" s="1814">
        <v>1</v>
      </c>
      <c r="AC22" s="2677">
        <v>1</v>
      </c>
    </row>
    <row r="23" spans="1:29" ht="54">
      <c r="A23" s="428"/>
      <c r="B23" s="631" t="s">
        <v>2688</v>
      </c>
      <c r="C23" s="2678" t="str">
        <f>估价对象房地状况!C9</f>
        <v>区域自然环境：；人文环境；综合评价环境状况较好</v>
      </c>
      <c r="D23" s="450">
        <v>100</v>
      </c>
      <c r="E23" s="2990" t="s">
        <v>3138</v>
      </c>
      <c r="F23" s="450">
        <f>SUMIF(85:85,E24,86:86)-SUMIF(85:85,C24,86:86)+100</f>
        <v>98</v>
      </c>
      <c r="G23" s="2989" t="s">
        <v>3137</v>
      </c>
      <c r="H23" s="450">
        <f>SUMIF(85:85,G24,86:86)-SUMIF(85:85,C24,86:86)+100</f>
        <v>100</v>
      </c>
      <c r="I23" s="2989" t="s">
        <v>3137</v>
      </c>
      <c r="J23" s="450">
        <f>SUMIF(85:85,I24,86:86)-SUMIF(85:85,C24,86:86)+100</f>
        <v>100</v>
      </c>
      <c r="K23" s="614">
        <v>2</v>
      </c>
      <c r="L23" s="1143"/>
      <c r="M23" s="1134"/>
      <c r="N23" s="1134"/>
      <c r="O23" s="1134"/>
      <c r="P23" s="3202"/>
      <c r="Q23" s="1813" t="str">
        <f>B23</f>
        <v>环境质量</v>
      </c>
      <c r="R23" s="774" t="s">
        <v>17</v>
      </c>
      <c r="S23" s="775">
        <f>F23</f>
        <v>98</v>
      </c>
      <c r="T23" s="774" t="s">
        <v>17</v>
      </c>
      <c r="U23" s="775">
        <f>H23</f>
        <v>100</v>
      </c>
      <c r="V23" s="774" t="s">
        <v>17</v>
      </c>
      <c r="W23" s="775">
        <f>J23</f>
        <v>100</v>
      </c>
      <c r="X23" s="1816"/>
      <c r="Y23" s="3204"/>
      <c r="Z23" s="1817" t="str">
        <f>Q23</f>
        <v>环境质量</v>
      </c>
      <c r="AA23" s="1814">
        <f t="shared" si="3"/>
        <v>1.0204081632653061</v>
      </c>
      <c r="AB23" s="1814">
        <f t="shared" si="4"/>
        <v>1</v>
      </c>
      <c r="AC23" s="2677">
        <f t="shared" si="5"/>
        <v>1</v>
      </c>
    </row>
    <row r="24" spans="1:29" ht="15">
      <c r="A24" s="428"/>
      <c r="B24" s="633"/>
      <c r="C24" s="2614" t="s">
        <v>3089</v>
      </c>
      <c r="D24" s="448"/>
      <c r="E24" s="2607" t="s">
        <v>3088</v>
      </c>
      <c r="F24" s="448"/>
      <c r="G24" s="2608" t="s">
        <v>3089</v>
      </c>
      <c r="H24" s="448"/>
      <c r="I24" s="2608" t="s">
        <v>3089</v>
      </c>
      <c r="J24" s="448"/>
      <c r="K24" s="615"/>
      <c r="L24" s="1143"/>
      <c r="M24" s="1134"/>
      <c r="N24" s="1134"/>
      <c r="O24" s="1134"/>
      <c r="P24" s="3202"/>
      <c r="Q24" s="1813"/>
      <c r="R24" s="774"/>
      <c r="S24" s="775"/>
      <c r="T24" s="774"/>
      <c r="U24" s="775"/>
      <c r="V24" s="774"/>
      <c r="W24" s="775"/>
      <c r="X24" s="1816"/>
      <c r="Y24" s="3204"/>
      <c r="Z24" s="1817"/>
      <c r="AA24" s="1814">
        <v>1</v>
      </c>
      <c r="AB24" s="1814">
        <v>1</v>
      </c>
      <c r="AC24" s="2677">
        <v>1</v>
      </c>
    </row>
    <row r="25" spans="1:29" ht="27">
      <c r="A25" s="404"/>
      <c r="B25" s="631" t="s">
        <v>2689</v>
      </c>
      <c r="C25" s="2993" t="s">
        <v>3140</v>
      </c>
      <c r="D25" s="435">
        <v>100</v>
      </c>
      <c r="E25" s="2994" t="s">
        <v>3141</v>
      </c>
      <c r="F25" s="435">
        <f>SUMIF(87:87,E26,88:88)-SUMIF(87:87,C26,88:88)+100</f>
        <v>100</v>
      </c>
      <c r="G25" s="2993" t="s">
        <v>3142</v>
      </c>
      <c r="H25" s="435">
        <f>SUMIF(87:87,G26,88:88)-SUMIF(87:87,C26,88:88)+100</f>
        <v>100</v>
      </c>
      <c r="I25" s="2994" t="s">
        <v>3140</v>
      </c>
      <c r="J25" s="435">
        <f>SUMIF(87:87,I26,88:88)-SUMIF(87:87,C26,88:88)+100</f>
        <v>100</v>
      </c>
      <c r="K25" s="614">
        <v>2</v>
      </c>
      <c r="L25" s="1143"/>
      <c r="M25" s="1134"/>
      <c r="N25" s="1134"/>
      <c r="O25" s="1134"/>
      <c r="P25" s="3202"/>
      <c r="Q25" s="1813" t="str">
        <f>B25</f>
        <v>毗邻道路的类型与等级</v>
      </c>
      <c r="R25" s="774" t="s">
        <v>17</v>
      </c>
      <c r="S25" s="775">
        <f>F25</f>
        <v>100</v>
      </c>
      <c r="T25" s="774" t="s">
        <v>17</v>
      </c>
      <c r="U25" s="775">
        <f>H25</f>
        <v>100</v>
      </c>
      <c r="V25" s="774" t="s">
        <v>17</v>
      </c>
      <c r="W25" s="775">
        <f>J25</f>
        <v>100</v>
      </c>
      <c r="X25" s="1816"/>
      <c r="Y25" s="3204"/>
      <c r="Z25" s="1817" t="str">
        <f>Q25</f>
        <v>毗邻道路的类型与等级</v>
      </c>
      <c r="AA25" s="1814">
        <f t="shared" si="3"/>
        <v>1</v>
      </c>
      <c r="AB25" s="1814">
        <f t="shared" si="4"/>
        <v>1</v>
      </c>
      <c r="AC25" s="2677">
        <f t="shared" si="5"/>
        <v>1</v>
      </c>
    </row>
    <row r="26" spans="1:29" ht="15">
      <c r="A26" s="404"/>
      <c r="B26" s="632"/>
      <c r="C26" s="634" t="s">
        <v>3107</v>
      </c>
      <c r="D26" s="435"/>
      <c r="E26" s="616" t="s">
        <v>3107</v>
      </c>
      <c r="F26" s="435"/>
      <c r="G26" s="634" t="s">
        <v>3107</v>
      </c>
      <c r="H26" s="435"/>
      <c r="I26" s="616" t="s">
        <v>3107</v>
      </c>
      <c r="J26" s="435"/>
      <c r="K26" s="615"/>
      <c r="L26" s="1143"/>
      <c r="M26" s="1134"/>
      <c r="N26" s="1134"/>
      <c r="O26" s="1134"/>
      <c r="P26" s="3202"/>
      <c r="Q26" s="1813"/>
      <c r="R26" s="774"/>
      <c r="S26" s="775"/>
      <c r="T26" s="774"/>
      <c r="U26" s="775"/>
      <c r="V26" s="774"/>
      <c r="W26" s="775"/>
      <c r="X26" s="1816"/>
      <c r="Y26" s="3204"/>
      <c r="Z26" s="1817"/>
      <c r="AA26" s="1814">
        <v>1</v>
      </c>
      <c r="AB26" s="1814">
        <v>1</v>
      </c>
      <c r="AC26" s="2677">
        <v>1</v>
      </c>
    </row>
    <row r="27" spans="1:29" ht="15.75" thickBot="1">
      <c r="A27" s="428"/>
      <c r="B27" s="632" t="s">
        <v>2657</v>
      </c>
      <c r="C27" s="3001" t="s">
        <v>3157</v>
      </c>
      <c r="D27" s="435">
        <v>100</v>
      </c>
      <c r="E27" s="2976" t="s">
        <v>3157</v>
      </c>
      <c r="F27" s="435">
        <f>SUMIF(89:89,E27,90:90)-SUMIF(89:89,C27,90:90)+100</f>
        <v>100</v>
      </c>
      <c r="G27" s="3001" t="s">
        <v>3157</v>
      </c>
      <c r="H27" s="435">
        <f>SUMIF(89:89,G27,90:90)-SUMIF(89:89,C27,90:90)+100</f>
        <v>100</v>
      </c>
      <c r="I27" s="2976" t="s">
        <v>3157</v>
      </c>
      <c r="J27" s="435">
        <f>SUMIF(89:89,I27,90:90)-SUMIF(89:89,C27,90:90)+100</f>
        <v>100</v>
      </c>
      <c r="K27" s="612"/>
      <c r="L27" s="1143"/>
      <c r="M27" s="1134"/>
      <c r="N27" s="1134"/>
      <c r="O27" s="1134"/>
      <c r="P27" s="3202"/>
      <c r="Q27" s="1813" t="str">
        <f t="shared" ref="Q27:Q47" si="11">B27</f>
        <v>楼层</v>
      </c>
      <c r="R27" s="774" t="s">
        <v>17</v>
      </c>
      <c r="S27" s="775">
        <f>F27</f>
        <v>100</v>
      </c>
      <c r="T27" s="774" t="s">
        <v>17</v>
      </c>
      <c r="U27" s="775">
        <f>H27</f>
        <v>100</v>
      </c>
      <c r="V27" s="774" t="s">
        <v>17</v>
      </c>
      <c r="W27" s="775">
        <f>J27</f>
        <v>100</v>
      </c>
      <c r="X27" s="1816"/>
      <c r="Y27" s="3204"/>
      <c r="Z27" s="1817" t="str">
        <f>Q27</f>
        <v>楼层</v>
      </c>
      <c r="AA27" s="1814">
        <f t="shared" si="3"/>
        <v>1</v>
      </c>
      <c r="AB27" s="1814">
        <f t="shared" si="4"/>
        <v>1</v>
      </c>
      <c r="AC27" s="2677">
        <f t="shared" si="5"/>
        <v>1</v>
      </c>
    </row>
    <row r="28" spans="1:29" s="117" customFormat="1" ht="15" hidden="1">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2"/>
      <c r="Q28" s="1798" t="str">
        <f t="shared" si="11"/>
        <v>朝向</v>
      </c>
      <c r="R28" s="770" t="s">
        <v>17</v>
      </c>
      <c r="S28" s="771">
        <f>F28</f>
        <v>100</v>
      </c>
      <c r="T28" s="770" t="s">
        <v>17</v>
      </c>
      <c r="U28" s="771">
        <f>H28</f>
        <v>100</v>
      </c>
      <c r="V28" s="770" t="s">
        <v>17</v>
      </c>
      <c r="W28" s="771">
        <f>J28</f>
        <v>100</v>
      </c>
      <c r="X28" s="772"/>
      <c r="Y28" s="3204"/>
      <c r="Z28" s="55" t="str">
        <f>Q28</f>
        <v>朝向</v>
      </c>
      <c r="AA28" s="1814">
        <f>D28/F28</f>
        <v>1</v>
      </c>
      <c r="AB28" s="1814">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2"/>
      <c r="Q29" s="1813">
        <f t="shared" si="11"/>
        <v>111</v>
      </c>
      <c r="R29" s="774" t="s">
        <v>17</v>
      </c>
      <c r="S29" s="775">
        <f t="shared" ref="S29:S47" si="12">F29</f>
        <v>100</v>
      </c>
      <c r="T29" s="774" t="s">
        <v>17</v>
      </c>
      <c r="U29" s="775">
        <f t="shared" ref="U29:U47" si="13">H29</f>
        <v>100</v>
      </c>
      <c r="V29" s="774" t="s">
        <v>17</v>
      </c>
      <c r="W29" s="775">
        <f t="shared" ref="W29:W47" si="14">J29</f>
        <v>100</v>
      </c>
      <c r="X29" s="1816"/>
      <c r="Y29" s="3204"/>
      <c r="Z29" s="1817">
        <f t="shared" ref="Z29:Z47" si="15">Q29</f>
        <v>111</v>
      </c>
      <c r="AA29" s="1814">
        <f t="shared" si="3"/>
        <v>1</v>
      </c>
      <c r="AB29" s="1814">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2"/>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2"/>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2"/>
      <c r="Q32" s="1813">
        <f t="shared" si="11"/>
        <v>111</v>
      </c>
      <c r="R32" s="774" t="s">
        <v>17</v>
      </c>
      <c r="S32" s="775">
        <f t="shared" si="12"/>
        <v>100</v>
      </c>
      <c r="T32" s="774" t="s">
        <v>17</v>
      </c>
      <c r="U32" s="775">
        <f t="shared" si="13"/>
        <v>100</v>
      </c>
      <c r="V32" s="774" t="s">
        <v>17</v>
      </c>
      <c r="W32" s="775">
        <f t="shared" si="14"/>
        <v>100</v>
      </c>
      <c r="X32" s="1816"/>
      <c r="Y32" s="3204"/>
      <c r="Z32" s="1817">
        <f t="shared" si="15"/>
        <v>111</v>
      </c>
      <c r="AA32" s="1814">
        <f t="shared" si="3"/>
        <v>1</v>
      </c>
      <c r="AB32" s="1814">
        <f t="shared" si="4"/>
        <v>1</v>
      </c>
      <c r="AC32" s="2677">
        <f t="shared" si="5"/>
        <v>1</v>
      </c>
    </row>
    <row r="33" spans="1:29" ht="15">
      <c r="A33" s="440" t="s">
        <v>2561</v>
      </c>
      <c r="B33" s="71" t="s">
        <v>2691</v>
      </c>
      <c r="C33" s="2984" t="s">
        <v>3111</v>
      </c>
      <c r="D33" s="467">
        <v>100</v>
      </c>
      <c r="E33" s="2984" t="s">
        <v>3111</v>
      </c>
      <c r="F33" s="461">
        <f>SUMIF(101:101,E33,102:102)-SUMIF(101:101,C33,102:102)+100</f>
        <v>100</v>
      </c>
      <c r="G33" s="2984" t="s">
        <v>3111</v>
      </c>
      <c r="H33" s="435">
        <f>SUMIF(101:101,G33,102:102)-SUMIF(101:101,C33,102:102)+100</f>
        <v>100</v>
      </c>
      <c r="I33" s="2984" t="s">
        <v>3111</v>
      </c>
      <c r="J33" s="467">
        <f>SUMIF(101:101,I33,102:102)-SUMIF(101:101,C33,102:102)+100</f>
        <v>100</v>
      </c>
      <c r="K33" s="612"/>
      <c r="L33" s="1143"/>
      <c r="M33" s="1134"/>
      <c r="N33" s="1134"/>
      <c r="O33" s="1134"/>
      <c r="P33" s="3205" t="s">
        <v>2563</v>
      </c>
      <c r="Q33" s="1813" t="str">
        <f t="shared" si="11"/>
        <v>建筑类型</v>
      </c>
      <c r="R33" s="774" t="s">
        <v>17</v>
      </c>
      <c r="S33" s="775">
        <f t="shared" si="12"/>
        <v>100</v>
      </c>
      <c r="T33" s="774" t="s">
        <v>17</v>
      </c>
      <c r="U33" s="775">
        <f t="shared" si="13"/>
        <v>100</v>
      </c>
      <c r="V33" s="774" t="s">
        <v>17</v>
      </c>
      <c r="W33" s="775">
        <f t="shared" si="14"/>
        <v>100</v>
      </c>
      <c r="X33" s="1816"/>
      <c r="Y33" s="3208" t="s">
        <v>2563</v>
      </c>
      <c r="Z33" s="1817" t="str">
        <f t="shared" si="15"/>
        <v>建筑类型</v>
      </c>
      <c r="AA33" s="1814">
        <f t="shared" si="3"/>
        <v>1</v>
      </c>
      <c r="AB33" s="1814">
        <f t="shared" si="4"/>
        <v>1</v>
      </c>
      <c r="AC33" s="2677">
        <f t="shared" si="5"/>
        <v>1</v>
      </c>
    </row>
    <row r="34" spans="1:29" s="471" customFormat="1" ht="15">
      <c r="A34" s="468"/>
      <c r="B34" s="422" t="s">
        <v>2564</v>
      </c>
      <c r="C34" s="469">
        <f>'数据-汇总表'!F20</f>
        <v>2294.6900000000005</v>
      </c>
      <c r="D34" s="136">
        <v>100</v>
      </c>
      <c r="E34" s="430">
        <v>100</v>
      </c>
      <c r="F34" s="425">
        <f>LOOKUP(E34,104:104,105:105)-LOOKUP(C34,104:104,105:105)+100</f>
        <v>108</v>
      </c>
      <c r="G34" s="429">
        <v>100</v>
      </c>
      <c r="H34" s="136">
        <f>LOOKUP(G34,104:104,105:105)-LOOKUP(C34,104:104,105:105)+100</f>
        <v>108</v>
      </c>
      <c r="I34" s="429">
        <v>100</v>
      </c>
      <c r="J34" s="136">
        <f>LOOKUP(I34,104:104,105:105)-LOOKUP(C34,104:104,105:105)+100</f>
        <v>108</v>
      </c>
      <c r="K34" s="613"/>
      <c r="L34" s="1141"/>
      <c r="M34" s="1144"/>
      <c r="N34" s="1144"/>
      <c r="O34" s="1144"/>
      <c r="P34" s="3206"/>
      <c r="Q34" s="776" t="str">
        <f t="shared" si="11"/>
        <v>项目建筑规模</v>
      </c>
      <c r="R34" s="777" t="s">
        <v>17</v>
      </c>
      <c r="S34" s="778">
        <f t="shared" si="12"/>
        <v>108</v>
      </c>
      <c r="T34" s="777" t="s">
        <v>17</v>
      </c>
      <c r="U34" s="778">
        <f t="shared" si="13"/>
        <v>108</v>
      </c>
      <c r="V34" s="777" t="s">
        <v>17</v>
      </c>
      <c r="W34" s="778">
        <f t="shared" si="14"/>
        <v>108</v>
      </c>
      <c r="X34" s="779"/>
      <c r="Y34" s="3208"/>
      <c r="Z34" s="780" t="str">
        <f t="shared" si="15"/>
        <v>项目建筑规模</v>
      </c>
      <c r="AA34" s="1814">
        <f t="shared" si="3"/>
        <v>0.92592592592592593</v>
      </c>
      <c r="AB34" s="1814">
        <f t="shared" si="4"/>
        <v>0.92592592592592593</v>
      </c>
      <c r="AC34" s="2677">
        <f t="shared" si="5"/>
        <v>0.92592592592592593</v>
      </c>
    </row>
    <row r="35" spans="1:29" ht="15">
      <c r="A35" s="472"/>
      <c r="B35" s="422" t="s">
        <v>2565</v>
      </c>
      <c r="C35" s="2985" t="s">
        <v>3112</v>
      </c>
      <c r="D35" s="435">
        <v>100</v>
      </c>
      <c r="E35" s="2985" t="s">
        <v>3112</v>
      </c>
      <c r="F35" s="461">
        <f>SUMIF(106:106,E35,107:107)-SUMIF(106:106,C35,107:107)+100</f>
        <v>100</v>
      </c>
      <c r="G35" s="2985" t="s">
        <v>3112</v>
      </c>
      <c r="H35" s="435">
        <f>SUMIF(106:106,G35,107:107)-SUMIF(106:106,C35,107:107)+100</f>
        <v>100</v>
      </c>
      <c r="I35" s="2985" t="s">
        <v>3112</v>
      </c>
      <c r="J35" s="435">
        <f>SUMIF(106:106,I35,107:107)-SUMIF(106:106,C35,107:107)+100</f>
        <v>100</v>
      </c>
      <c r="K35" s="612"/>
      <c r="L35" s="1143"/>
      <c r="M35" s="1134"/>
      <c r="N35" s="1134"/>
      <c r="O35" s="1134"/>
      <c r="P35" s="3206"/>
      <c r="Q35" s="1813" t="str">
        <f t="shared" si="11"/>
        <v>建筑结构</v>
      </c>
      <c r="R35" s="774" t="s">
        <v>17</v>
      </c>
      <c r="S35" s="775">
        <f t="shared" si="12"/>
        <v>100</v>
      </c>
      <c r="T35" s="774" t="s">
        <v>17</v>
      </c>
      <c r="U35" s="775">
        <f t="shared" si="13"/>
        <v>100</v>
      </c>
      <c r="V35" s="774" t="s">
        <v>17</v>
      </c>
      <c r="W35" s="775">
        <f t="shared" si="14"/>
        <v>100</v>
      </c>
      <c r="X35" s="1816"/>
      <c r="Y35" s="3208"/>
      <c r="Z35" s="1817" t="str">
        <f t="shared" si="15"/>
        <v>建筑结构</v>
      </c>
      <c r="AA35" s="1814">
        <f t="shared" si="3"/>
        <v>1</v>
      </c>
      <c r="AB35" s="1814">
        <f t="shared" si="4"/>
        <v>1</v>
      </c>
      <c r="AC35" s="2677">
        <f t="shared" si="5"/>
        <v>1</v>
      </c>
    </row>
    <row r="36" spans="1:29" ht="15">
      <c r="A36" s="472"/>
      <c r="B36" s="422" t="s">
        <v>2659</v>
      </c>
      <c r="C36" s="2985" t="s">
        <v>3113</v>
      </c>
      <c r="D36" s="435">
        <v>100</v>
      </c>
      <c r="E36" s="2985" t="s">
        <v>3113</v>
      </c>
      <c r="F36" s="461">
        <f>SUMIF(108:108,E36,109:109)-SUMIF(108:108,C36,109:109)+100</f>
        <v>100</v>
      </c>
      <c r="G36" s="2985" t="s">
        <v>3113</v>
      </c>
      <c r="H36" s="435">
        <f>SUMIF(108:108,G36,109:109)-SUMIF(108:108,C36,109:109)+100</f>
        <v>100</v>
      </c>
      <c r="I36" s="2985" t="s">
        <v>3113</v>
      </c>
      <c r="J36" s="435">
        <f>SUMIF(108:108,I36,109:109)-SUMIF(108:108,C36,109:109)+100</f>
        <v>100</v>
      </c>
      <c r="K36" s="612"/>
      <c r="L36" s="1143"/>
      <c r="M36" s="1134"/>
      <c r="N36" s="1134"/>
      <c r="O36" s="1134"/>
      <c r="P36" s="3206"/>
      <c r="Q36" s="1813" t="str">
        <f t="shared" si="11"/>
        <v>公共部分装修</v>
      </c>
      <c r="R36" s="774" t="s">
        <v>17</v>
      </c>
      <c r="S36" s="775">
        <f t="shared" si="12"/>
        <v>100</v>
      </c>
      <c r="T36" s="774" t="s">
        <v>17</v>
      </c>
      <c r="U36" s="775">
        <f t="shared" si="13"/>
        <v>100</v>
      </c>
      <c r="V36" s="774" t="s">
        <v>17</v>
      </c>
      <c r="W36" s="775">
        <f t="shared" si="14"/>
        <v>100</v>
      </c>
      <c r="X36" s="1816"/>
      <c r="Y36" s="3208"/>
      <c r="Z36" s="1817" t="str">
        <f t="shared" si="15"/>
        <v>公共部分装修</v>
      </c>
      <c r="AA36" s="1814">
        <f t="shared" si="3"/>
        <v>1</v>
      </c>
      <c r="AB36" s="1814">
        <f t="shared" si="4"/>
        <v>1</v>
      </c>
      <c r="AC36" s="2677">
        <f t="shared" si="5"/>
        <v>1</v>
      </c>
    </row>
    <row r="37" spans="1:29" ht="15">
      <c r="A37" s="472"/>
      <c r="B37" s="422" t="s">
        <v>2660</v>
      </c>
      <c r="C37" s="474">
        <v>0.98</v>
      </c>
      <c r="D37" s="435">
        <v>100</v>
      </c>
      <c r="E37" s="474">
        <v>0.98</v>
      </c>
      <c r="F37" s="461">
        <f>LOOKUP(E37,111:111,112:112)-LOOKUP(C37,111:111,112:112)+100</f>
        <v>100</v>
      </c>
      <c r="G37" s="474">
        <v>1</v>
      </c>
      <c r="H37" s="461">
        <f>LOOKUP(G37,111:111,112:112)-LOOKUP(C37,111:111,112:112)+100</f>
        <v>100</v>
      </c>
      <c r="I37" s="474">
        <v>0.98</v>
      </c>
      <c r="J37" s="435">
        <f>LOOKUP(I37,111:111,112:112)-LOOKUP(C37,111:111,112:112)+100</f>
        <v>100</v>
      </c>
      <c r="K37" s="612"/>
      <c r="L37" s="1143"/>
      <c r="M37" s="1134"/>
      <c r="N37" s="1134"/>
      <c r="O37" s="1134"/>
      <c r="P37" s="3206"/>
      <c r="Q37" s="1813" t="str">
        <f t="shared" si="11"/>
        <v>成新度</v>
      </c>
      <c r="R37" s="774" t="s">
        <v>17</v>
      </c>
      <c r="S37" s="775">
        <f t="shared" si="12"/>
        <v>100</v>
      </c>
      <c r="T37" s="774" t="s">
        <v>17</v>
      </c>
      <c r="U37" s="775">
        <f t="shared" si="13"/>
        <v>100</v>
      </c>
      <c r="V37" s="774" t="s">
        <v>17</v>
      </c>
      <c r="W37" s="775">
        <f t="shared" si="14"/>
        <v>100</v>
      </c>
      <c r="X37" s="1816"/>
      <c r="Y37" s="3208"/>
      <c r="Z37" s="1817" t="str">
        <f t="shared" si="15"/>
        <v>成新度</v>
      </c>
      <c r="AA37" s="1814">
        <f t="shared" si="3"/>
        <v>1</v>
      </c>
      <c r="AB37" s="1814">
        <f t="shared" si="4"/>
        <v>1</v>
      </c>
      <c r="AC37" s="2677">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8"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2563</v>
      </c>
      <c r="Q39" s="1813" t="str">
        <f t="shared" si="11"/>
        <v>物业管理</v>
      </c>
      <c r="R39" s="774" t="s">
        <v>17</v>
      </c>
      <c r="S39" s="775">
        <f t="shared" si="12"/>
        <v>100</v>
      </c>
      <c r="T39" s="774" t="s">
        <v>17</v>
      </c>
      <c r="U39" s="775">
        <f t="shared" si="13"/>
        <v>100</v>
      </c>
      <c r="V39" s="774" t="s">
        <v>17</v>
      </c>
      <c r="W39" s="775">
        <f t="shared" si="14"/>
        <v>100</v>
      </c>
      <c r="X39" s="1816"/>
      <c r="Y39" s="3208" t="s">
        <v>2563</v>
      </c>
      <c r="Z39" s="1817" t="str">
        <f t="shared" si="15"/>
        <v>物业管理</v>
      </c>
      <c r="AA39" s="1814">
        <f t="shared" si="3"/>
        <v>1</v>
      </c>
      <c r="AB39" s="1814">
        <f t="shared" si="4"/>
        <v>1</v>
      </c>
      <c r="AC39" s="2677">
        <f t="shared" si="5"/>
        <v>1</v>
      </c>
    </row>
    <row r="40" spans="1:29" ht="15">
      <c r="A40" s="472"/>
      <c r="B40" s="422" t="s">
        <v>2661</v>
      </c>
      <c r="C40" s="2985" t="s">
        <v>3114</v>
      </c>
      <c r="D40" s="435">
        <v>100</v>
      </c>
      <c r="E40" s="2985" t="s">
        <v>3114</v>
      </c>
      <c r="F40" s="461">
        <f>SUMIF(117:117,E40,118:118)-SUMIF(117:117,C40,118:118)+100</f>
        <v>100</v>
      </c>
      <c r="G40" s="2985" t="s">
        <v>3114</v>
      </c>
      <c r="H40" s="435">
        <f>SUMIF(117:117,G40,118:118)-SUMIF(117:117,C40,118:118)+100</f>
        <v>100</v>
      </c>
      <c r="I40" s="2985" t="s">
        <v>3114</v>
      </c>
      <c r="J40" s="435">
        <f>SUMIF(117:117,I40,118:118)-SUMIF(117:117,C40,118:118)+100</f>
        <v>100</v>
      </c>
      <c r="K40" s="612"/>
      <c r="L40" s="1143"/>
      <c r="M40" s="1134"/>
      <c r="N40" s="1134"/>
      <c r="O40" s="1134"/>
      <c r="P40" s="3206"/>
      <c r="Q40" s="1813" t="str">
        <f t="shared" si="11"/>
        <v>市政基础设施</v>
      </c>
      <c r="R40" s="774" t="s">
        <v>17</v>
      </c>
      <c r="S40" s="775">
        <f t="shared" si="12"/>
        <v>100</v>
      </c>
      <c r="T40" s="774" t="s">
        <v>17</v>
      </c>
      <c r="U40" s="775">
        <f t="shared" si="13"/>
        <v>100</v>
      </c>
      <c r="V40" s="774" t="s">
        <v>17</v>
      </c>
      <c r="W40" s="775">
        <f t="shared" si="14"/>
        <v>100</v>
      </c>
      <c r="X40" s="1816"/>
      <c r="Y40" s="3208"/>
      <c r="Z40" s="1817" t="str">
        <f t="shared" si="15"/>
        <v>市政基础设施</v>
      </c>
      <c r="AA40" s="1814">
        <f t="shared" si="3"/>
        <v>1</v>
      </c>
      <c r="AB40" s="1814">
        <f t="shared" si="4"/>
        <v>1</v>
      </c>
      <c r="AC40" s="2677">
        <f t="shared" si="5"/>
        <v>1</v>
      </c>
    </row>
    <row r="41" spans="1:29" ht="15">
      <c r="A41" s="472"/>
      <c r="B41" s="422" t="s">
        <v>2663</v>
      </c>
      <c r="C41" s="616">
        <v>4.2</v>
      </c>
      <c r="D41" s="435">
        <v>100</v>
      </c>
      <c r="E41" s="616">
        <v>4.2</v>
      </c>
      <c r="F41" s="461">
        <f>SUMIF(119:119,E41,120:120)-SUMIF(119:119,C41,120:120)+100</f>
        <v>100</v>
      </c>
      <c r="G41" s="616">
        <v>4.2</v>
      </c>
      <c r="H41" s="435">
        <f>SUMIF(119:119,G41,120:120)-SUMIF(119:119,C41,120:120)+100</f>
        <v>100</v>
      </c>
      <c r="I41" s="616">
        <v>4.2</v>
      </c>
      <c r="J41" s="435">
        <f>SUMIF(119:119,I41,120:120)-SUMIF(119:119,C41,120:120)+100</f>
        <v>100</v>
      </c>
      <c r="K41" s="612"/>
      <c r="L41" s="1143"/>
      <c r="M41" s="1134"/>
      <c r="N41" s="1134"/>
      <c r="O41" s="1134"/>
      <c r="P41" s="3206"/>
      <c r="Q41" s="1813" t="str">
        <f t="shared" si="11"/>
        <v>层高</v>
      </c>
      <c r="R41" s="774" t="s">
        <v>17</v>
      </c>
      <c r="S41" s="775">
        <f t="shared" si="12"/>
        <v>100</v>
      </c>
      <c r="T41" s="774" t="s">
        <v>17</v>
      </c>
      <c r="U41" s="775">
        <f t="shared" si="13"/>
        <v>100</v>
      </c>
      <c r="V41" s="774" t="s">
        <v>17</v>
      </c>
      <c r="W41" s="775">
        <f t="shared" si="14"/>
        <v>100</v>
      </c>
      <c r="X41" s="1816"/>
      <c r="Y41" s="3208"/>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4">
        <f t="shared" si="3"/>
        <v>1</v>
      </c>
      <c r="AB42" s="1814">
        <f t="shared" si="4"/>
        <v>1</v>
      </c>
      <c r="AC42" s="2677">
        <f t="shared" si="5"/>
        <v>1</v>
      </c>
    </row>
    <row r="43" spans="1:29" ht="15">
      <c r="A43" s="472"/>
      <c r="B43" s="422" t="s">
        <v>2666</v>
      </c>
      <c r="C43" s="2985" t="s">
        <v>3115</v>
      </c>
      <c r="D43" s="435">
        <v>100</v>
      </c>
      <c r="E43" s="2985" t="s">
        <v>3115</v>
      </c>
      <c r="F43" s="461">
        <f>SUMIF(123:123,E43,124:124)-SUMIF(123:123,C43,124:124)+100</f>
        <v>100</v>
      </c>
      <c r="G43" s="2985" t="s">
        <v>3115</v>
      </c>
      <c r="H43" s="435">
        <f>SUMIF(123:123,G43,124:124)-SUMIF(123:123,C43,124:124)+100</f>
        <v>100</v>
      </c>
      <c r="I43" s="2985" t="s">
        <v>3115</v>
      </c>
      <c r="J43" s="435">
        <f>SUMIF(123:123,I43,124:124)-SUMIF(123:123,C43,124:124)+100</f>
        <v>100</v>
      </c>
      <c r="K43" s="612"/>
      <c r="L43" s="1143"/>
      <c r="M43" s="1134"/>
      <c r="N43" s="1134"/>
      <c r="O43" s="1134"/>
      <c r="P43" s="3206"/>
      <c r="Q43" s="1813" t="str">
        <f t="shared" si="11"/>
        <v>内部装修</v>
      </c>
      <c r="R43" s="774" t="s">
        <v>17</v>
      </c>
      <c r="S43" s="775">
        <f t="shared" si="12"/>
        <v>100</v>
      </c>
      <c r="T43" s="774" t="s">
        <v>17</v>
      </c>
      <c r="U43" s="775">
        <f t="shared" si="13"/>
        <v>100</v>
      </c>
      <c r="V43" s="774" t="s">
        <v>17</v>
      </c>
      <c r="W43" s="775">
        <f t="shared" si="14"/>
        <v>100</v>
      </c>
      <c r="X43" s="1816"/>
      <c r="Y43" s="3208"/>
      <c r="Z43" s="1817" t="str">
        <f t="shared" si="15"/>
        <v>内部装修</v>
      </c>
      <c r="AA43" s="1814">
        <f t="shared" si="3"/>
        <v>1</v>
      </c>
      <c r="AB43" s="1814">
        <f t="shared" si="4"/>
        <v>1</v>
      </c>
      <c r="AC43" s="2677">
        <f t="shared" si="5"/>
        <v>1</v>
      </c>
    </row>
    <row r="44" spans="1:29" ht="15">
      <c r="A44" s="472"/>
      <c r="B44" s="422" t="s">
        <v>2574</v>
      </c>
      <c r="C44" s="2985" t="s">
        <v>3116</v>
      </c>
      <c r="D44" s="435">
        <v>100</v>
      </c>
      <c r="E44" s="2980" t="s">
        <v>3116</v>
      </c>
      <c r="F44" s="461">
        <f>SUMIF(125:125,E44,126:126)-SUMIF(125:125,C44,126:126)+100</f>
        <v>100</v>
      </c>
      <c r="G44" s="2980" t="s">
        <v>3116</v>
      </c>
      <c r="H44" s="435">
        <f>SUMIF(125:125,G44,126:126)-SUMIF(125:125,C44,126:126)+100</f>
        <v>100</v>
      </c>
      <c r="I44" s="2980" t="s">
        <v>3116</v>
      </c>
      <c r="J44" s="435">
        <f>SUMIF(125:125,I44,126:126)-SUMIF(125:125,C44,126:126)+100</f>
        <v>100</v>
      </c>
      <c r="K44" s="612"/>
      <c r="L44" s="1143"/>
      <c r="M44" s="1134"/>
      <c r="N44" s="1134"/>
      <c r="O44" s="1134"/>
      <c r="P44" s="3206"/>
      <c r="Q44" s="1813" t="str">
        <f t="shared" si="11"/>
        <v>内部装修维护情况</v>
      </c>
      <c r="R44" s="774" t="s">
        <v>17</v>
      </c>
      <c r="S44" s="775">
        <f t="shared" si="12"/>
        <v>100</v>
      </c>
      <c r="T44" s="774" t="s">
        <v>17</v>
      </c>
      <c r="U44" s="775">
        <f t="shared" si="13"/>
        <v>100</v>
      </c>
      <c r="V44" s="774" t="s">
        <v>17</v>
      </c>
      <c r="W44" s="775">
        <f t="shared" si="14"/>
        <v>100</v>
      </c>
      <c r="X44" s="1816"/>
      <c r="Y44" s="3208"/>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8">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3">
        <f t="shared" si="11"/>
        <v>111</v>
      </c>
      <c r="R47" s="774" t="s">
        <v>17</v>
      </c>
      <c r="S47" s="775">
        <f t="shared" si="12"/>
        <v>100</v>
      </c>
      <c r="T47" s="774" t="s">
        <v>17</v>
      </c>
      <c r="U47" s="775">
        <f t="shared" si="13"/>
        <v>100</v>
      </c>
      <c r="V47" s="774" t="s">
        <v>17</v>
      </c>
      <c r="W47" s="775">
        <f t="shared" si="14"/>
        <v>100</v>
      </c>
      <c r="X47" s="1816"/>
      <c r="Y47" s="3209"/>
      <c r="Z47" s="1817">
        <f t="shared" si="15"/>
        <v>111</v>
      </c>
      <c r="AA47" s="1814">
        <f t="shared" si="3"/>
        <v>1</v>
      </c>
      <c r="AB47" s="1814">
        <f t="shared" si="4"/>
        <v>1</v>
      </c>
      <c r="AC47" s="2677">
        <f t="shared" si="5"/>
        <v>1</v>
      </c>
    </row>
    <row r="48" spans="1:29" ht="15">
      <c r="A48" s="479" t="s">
        <v>2575</v>
      </c>
      <c r="B48" s="480"/>
      <c r="C48" s="1410" t="s">
        <v>1</v>
      </c>
      <c r="D48" s="1411"/>
      <c r="E48" s="1412">
        <v>8000</v>
      </c>
      <c r="F48" s="1413"/>
      <c r="G48" s="1414">
        <v>8800</v>
      </c>
      <c r="H48" s="1415"/>
      <c r="I48" s="1412">
        <v>8500</v>
      </c>
      <c r="J48" s="485"/>
      <c r="K48" s="783"/>
      <c r="L48" s="1146"/>
      <c r="M48" s="1134"/>
      <c r="N48" s="1134"/>
      <c r="O48" s="1134"/>
      <c r="P48" s="3211" t="str">
        <f>A48</f>
        <v>成交单价（元/平方米）</v>
      </c>
      <c r="Q48" s="3196"/>
      <c r="R48" s="3197">
        <f>E48</f>
        <v>8000</v>
      </c>
      <c r="S48" s="3197"/>
      <c r="T48" s="3197">
        <f>G48</f>
        <v>8800</v>
      </c>
      <c r="U48" s="3197"/>
      <c r="V48" s="3197">
        <f>I48</f>
        <v>8500</v>
      </c>
      <c r="W48" s="3197"/>
      <c r="X48" s="446"/>
      <c r="Y48" s="781"/>
      <c r="Z48" s="446"/>
      <c r="AA48" s="446"/>
      <c r="AB48" s="446"/>
      <c r="AC48" s="630"/>
    </row>
    <row r="49" spans="1:29" ht="15.75" thickBot="1">
      <c r="A49" s="486" t="s">
        <v>2667</v>
      </c>
      <c r="B49" s="487"/>
      <c r="C49" s="1416">
        <f>R50</f>
        <v>7914</v>
      </c>
      <c r="D49" s="1417"/>
      <c r="E49" s="1418">
        <f>R49</f>
        <v>7559</v>
      </c>
      <c r="F49" s="1418"/>
      <c r="G49" s="1416">
        <f>T49</f>
        <v>8314</v>
      </c>
      <c r="H49" s="1417"/>
      <c r="I49" s="1418">
        <f>V49</f>
        <v>7870</v>
      </c>
      <c r="J49" s="489"/>
      <c r="K49" s="784"/>
      <c r="L49" s="1146"/>
      <c r="M49" s="1134"/>
      <c r="N49" s="1134"/>
      <c r="O49" s="1134"/>
      <c r="P49" s="3211" t="str">
        <f>A49</f>
        <v>比较价值（元/平方米）</v>
      </c>
      <c r="Q49" s="3196"/>
      <c r="R49" s="3197">
        <f>IF(F1="售价",ROUND(PRODUCT(R48,AA7:AA47),0),ROUND(PRODUCT(R48,AA7:AA47),1))</f>
        <v>7559</v>
      </c>
      <c r="S49" s="3197"/>
      <c r="T49" s="3197">
        <f>IF(F1="售价",ROUND(PRODUCT(T48,AB7:AB47),0),ROUND(PRODUCT(T48,AB7:AB47),1))</f>
        <v>8314</v>
      </c>
      <c r="U49" s="3197"/>
      <c r="V49" s="3197">
        <f>IF(F1="售价",ROUND(PRODUCT(V48,AC7:AC47),0),ROUND(PRODUCT(V48,AC7:AC47),1))</f>
        <v>7870</v>
      </c>
      <c r="W49" s="3197"/>
      <c r="X49" s="446"/>
      <c r="Y49" s="446"/>
      <c r="Z49" s="446"/>
      <c r="AA49" s="446"/>
      <c r="AB49" s="446"/>
      <c r="AC49" s="630"/>
    </row>
    <row r="50" spans="1:29" ht="15.75" thickBot="1">
      <c r="A50" s="492" t="s">
        <v>2668</v>
      </c>
      <c r="B50" s="493"/>
      <c r="C50" s="1420">
        <f>R50</f>
        <v>7914</v>
      </c>
      <c r="D50" s="1420"/>
      <c r="E50" s="1420"/>
      <c r="F50" s="1420"/>
      <c r="G50" s="1420"/>
      <c r="H50" s="1420"/>
      <c r="I50" s="1420"/>
      <c r="J50" s="494"/>
      <c r="K50" s="785"/>
      <c r="L50" s="1146"/>
      <c r="M50" s="1134"/>
      <c r="N50" s="1134"/>
      <c r="O50" s="1134"/>
      <c r="P50" s="3266" t="str">
        <f>A50</f>
        <v>估价对象XX用房的比较价值（楼面单价，元/平方米）</v>
      </c>
      <c r="Q50" s="3267"/>
      <c r="R50" s="3268">
        <f>IF(F1="售价",ROUND(AVERAGE(R49:V49),0),ROUND(AVERAGE(R49:V49),1))</f>
        <v>7914</v>
      </c>
      <c r="S50" s="3268"/>
      <c r="T50" s="3268"/>
      <c r="U50" s="3268"/>
      <c r="V50" s="3268"/>
      <c r="W50" s="326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5.8341050403492467E-2</v>
      </c>
      <c r="F53" s="500" t="str">
        <f>IF(OR(E53&gt;=0.3,E53&lt;=-0.3),"超过30%","")</f>
        <v/>
      </c>
      <c r="G53" s="499">
        <f>IF(G48&lt;G49,G49/G48-1,G48/G49-1)</f>
        <v>5.8455617031513141E-2</v>
      </c>
      <c r="H53" s="500" t="str">
        <f>IF(OR(G53&gt;=0.3,G53&lt;=-0.3),"超过30%","")</f>
        <v/>
      </c>
      <c r="I53" s="499">
        <f>IF(I48&lt;I49,I49/I48-1,I48/I49-1)</f>
        <v>8.0050825921219815E-2</v>
      </c>
      <c r="J53" s="500" t="str">
        <f>IF(OR(I53&gt;=0.3,I53&lt;=-0.3),"超过30%","")</f>
        <v/>
      </c>
      <c r="K53" s="1108"/>
      <c r="L53" s="1109"/>
      <c r="M53" s="1147"/>
      <c r="N53" s="1147"/>
      <c r="O53" s="1147"/>
    </row>
    <row r="54" spans="1:29" ht="13.5" customHeight="1">
      <c r="A54" s="1147"/>
      <c r="B54" s="1147"/>
      <c r="C54" s="497" t="s">
        <v>2670</v>
      </c>
      <c r="D54" s="501"/>
      <c r="E54" s="499">
        <f>IF(E49&lt;G49,G49/E49-1,E49/G49-1)</f>
        <v>9.988093663182962E-2</v>
      </c>
      <c r="F54" s="500" t="str">
        <f>IF(OR(E54&gt;=0.2,E54&lt;=-0.2),"超过20%","")</f>
        <v/>
      </c>
      <c r="G54" s="499">
        <f>IF(G49&lt;I49,I49/G49-1,G49/I49-1)</f>
        <v>5.641677255400257E-2</v>
      </c>
      <c r="H54" s="500" t="str">
        <f>IF(OR(G54&gt;=0.2,G54&lt;=-0.2),"超过20%","")</f>
        <v/>
      </c>
      <c r="I54" s="499">
        <f>IF(I49&lt;E49,E49/I49-1,I49/E49-1)</f>
        <v>4.1143008334435738E-2</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0.10000000000000009</v>
      </c>
      <c r="F55" s="500" t="str">
        <f>IF(OR(E55&gt;=0.3,E55&lt;=-0.3),"超过30%","")</f>
        <v/>
      </c>
      <c r="G55" s="499">
        <f>IF(G48&lt;I48,I48/G48-1,G48/I48-1)</f>
        <v>3.529411764705892E-2</v>
      </c>
      <c r="H55" s="500" t="str">
        <f>IF(OR(G55&gt;=0.3,G55&lt;=-0.3),"超过30%","")</f>
        <v/>
      </c>
      <c r="I55" s="499">
        <f>IF(I48&lt;E48,E48/I48-1,I48/E48-1)</f>
        <v>6.25E-2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2697</v>
      </c>
      <c r="C87" s="2983" t="s">
        <v>3106</v>
      </c>
      <c r="D87" s="2983" t="s">
        <v>3108</v>
      </c>
      <c r="E87" s="2983" t="s">
        <v>3109</v>
      </c>
      <c r="F87" s="2983" t="s">
        <v>3110</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29.25" thickTop="1">
      <c r="A103" s="534"/>
      <c r="B103" s="538" t="s">
        <v>2611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7"/>
      <c r="O104" s="1157"/>
      <c r="P104" s="2688"/>
      <c r="Q104" s="559"/>
    </row>
    <row r="105" spans="1:17" s="471" customFormat="1" ht="15.75" thickBot="1">
      <c r="A105" s="553"/>
      <c r="B105" s="543"/>
      <c r="C105" s="560">
        <v>100</v>
      </c>
      <c r="D105" s="536">
        <v>98</v>
      </c>
      <c r="E105" s="536">
        <v>96</v>
      </c>
      <c r="F105" s="536">
        <v>94</v>
      </c>
      <c r="G105" s="536">
        <v>92</v>
      </c>
      <c r="H105" s="536">
        <v>90</v>
      </c>
      <c r="I105" s="536">
        <v>88</v>
      </c>
      <c r="J105" s="536">
        <v>86</v>
      </c>
      <c r="K105" s="536">
        <v>84</v>
      </c>
      <c r="L105" s="536">
        <v>82</v>
      </c>
      <c r="M105" s="537">
        <v>80</v>
      </c>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新华人寿保险股份有限公司新疆分公司：</v>
      </c>
    </row>
    <row r="4" spans="1:1" ht="36">
      <c r="A4" s="1951" t="str">
        <f>"受贵公司委托，我公司对"&amp;项目基本情况!S1&amp;"进行了预评估。"</f>
        <v>受贵公司委托，我公司对新疆省昌吉市延安南路46号小区房地产市场价值进行了预评估。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2018年4月24日（评估专业人员实地查勘之日）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K43" sqref="K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70</v>
      </c>
      <c r="E1" s="1824" t="s">
        <v>1387</v>
      </c>
      <c r="F1" s="1286">
        <f ca="1">J53</f>
        <v>33.25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ROUND(D2/10000,0)</f>
        <v>1586</v>
      </c>
      <c r="C2" s="1848" t="s">
        <v>1516</v>
      </c>
      <c r="D2" s="1941">
        <f ca="1">C40+J29+L46</f>
        <v>15855512</v>
      </c>
      <c r="E2" s="1849" t="s">
        <v>1592</v>
      </c>
      <c r="F2" s="1850"/>
      <c r="G2" s="1851"/>
      <c r="H2" s="1843"/>
      <c r="I2" s="1843"/>
      <c r="J2" s="1843"/>
      <c r="K2" s="1844"/>
      <c r="L2" s="1843"/>
      <c r="M2" s="1843"/>
    </row>
    <row r="3" spans="1:37" ht="18" customHeight="1" thickBot="1">
      <c r="A3" s="1852" t="s">
        <v>1517</v>
      </c>
      <c r="B3" s="1853">
        <f ca="1">IF(ISERROR(D2/F43),0,ROUND(D2/F43,0))</f>
        <v>6910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1132121</v>
      </c>
      <c r="D5" s="1825" t="s">
        <v>1402</v>
      </c>
      <c r="E5" s="1296"/>
      <c r="F5" s="1297"/>
      <c r="G5" s="1854"/>
      <c r="H5" s="344">
        <v>1</v>
      </c>
      <c r="I5" s="345" t="s">
        <v>1401</v>
      </c>
      <c r="J5" s="1295">
        <f ca="1">J6+J10+J12</f>
        <v>0</v>
      </c>
      <c r="K5" s="1825" t="s">
        <v>1402</v>
      </c>
      <c r="L5" s="1296"/>
      <c r="M5" s="1297"/>
    </row>
    <row r="6" spans="1:37" ht="18" customHeight="1">
      <c r="A6" s="1294" t="s">
        <v>1035</v>
      </c>
      <c r="B6" s="3193" t="s">
        <v>1403</v>
      </c>
      <c r="C6" s="1299">
        <f ca="1">ROUND(F6*F8*F7*(1-F9),0)</f>
        <v>1130708</v>
      </c>
      <c r="D6" s="164" t="s">
        <v>3027</v>
      </c>
      <c r="E6" s="347" t="s">
        <v>1405</v>
      </c>
      <c r="F6" s="348">
        <f ca="1">INDIRECT("'数据-取费表'!u"&amp;$G$1)</f>
        <v>1.5</v>
      </c>
      <c r="G6" s="1854"/>
      <c r="H6" s="1294" t="s">
        <v>1035</v>
      </c>
      <c r="I6" s="3193" t="s">
        <v>1403</v>
      </c>
      <c r="J6" s="346">
        <f ca="1">ROUND(M6*M8*M7*(1-M9),0)</f>
        <v>0</v>
      </c>
      <c r="K6" s="1837" t="s">
        <v>3028</v>
      </c>
      <c r="L6" s="347" t="s">
        <v>1405</v>
      </c>
      <c r="M6" s="348">
        <f ca="1">INDIRECT("'数据-取费表'!z"&amp;$G$1)</f>
        <v>0</v>
      </c>
    </row>
    <row r="7" spans="1:37" ht="18" customHeight="1">
      <c r="A7" s="1298"/>
      <c r="B7" s="3194"/>
      <c r="C7" s="1300"/>
      <c r="D7" s="352"/>
      <c r="E7" s="2951" t="s">
        <v>1406</v>
      </c>
      <c r="F7" s="348">
        <f ca="1">IF(INDIRECT("'数据-取费表'!ah"&amp;$G$1)="",INDIRECT("'数据-取费表'!k"&amp;$G$1),INDIRECT("'数据-取费表'!ah"&amp;$G$1))</f>
        <v>2294.6900000000005</v>
      </c>
      <c r="G7" s="1854"/>
      <c r="H7" s="349"/>
      <c r="I7" s="3194"/>
      <c r="J7" s="351"/>
      <c r="K7" s="352"/>
      <c r="L7" s="347" t="s">
        <v>1406</v>
      </c>
      <c r="M7" s="348">
        <f ca="1">F7</f>
        <v>2294.6900000000005</v>
      </c>
    </row>
    <row r="8" spans="1:37" ht="18" customHeight="1">
      <c r="A8" s="349"/>
      <c r="B8" s="3194"/>
      <c r="C8" s="351"/>
      <c r="D8" s="352"/>
      <c r="E8" s="347" t="s">
        <v>1407</v>
      </c>
      <c r="F8" s="348">
        <f ca="1">INDIRECT("'数据-取费表'!ai"&amp;$G$1)</f>
        <v>365</v>
      </c>
      <c r="G8" s="1854"/>
      <c r="H8" s="349"/>
      <c r="I8" s="3194"/>
      <c r="J8" s="351"/>
      <c r="K8" s="352"/>
      <c r="L8" s="347" t="s">
        <v>1407</v>
      </c>
      <c r="M8" s="348">
        <f ca="1">INDIRECT("'数据-取费表'!ai"&amp;$G$1)</f>
        <v>365</v>
      </c>
    </row>
    <row r="9" spans="1:37" ht="18" customHeight="1">
      <c r="A9" s="349"/>
      <c r="B9" s="3195"/>
      <c r="C9" s="351"/>
      <c r="D9" s="352"/>
      <c r="E9" s="347" t="s">
        <v>1408</v>
      </c>
      <c r="F9" s="357">
        <f ca="1">INDIRECT("'数据-取费表'!w"&amp;$G$1)</f>
        <v>0.1</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1413</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9148364</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5966194</v>
      </c>
      <c r="D14" s="2960" t="s">
        <v>1418</v>
      </c>
      <c r="E14" s="2959"/>
      <c r="F14" s="364"/>
      <c r="G14" s="1854"/>
      <c r="H14" s="1204" t="s">
        <v>1035</v>
      </c>
      <c r="I14" s="347" t="s">
        <v>1419</v>
      </c>
      <c r="J14" s="24">
        <f ca="1">C29</f>
        <v>9148364</v>
      </c>
      <c r="K14" s="2950"/>
      <c r="L14" s="982"/>
      <c r="M14" s="983"/>
    </row>
    <row r="15" spans="1:37" s="1861" customFormat="1" ht="18" customHeight="1" thickBot="1">
      <c r="A15" s="1204" t="s">
        <v>1036</v>
      </c>
      <c r="B15" s="347" t="s">
        <v>1420</v>
      </c>
      <c r="C15" s="24">
        <f ca="1">ROUND(C14*F15,0)</f>
        <v>178986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220528</v>
      </c>
      <c r="K16" s="1340" t="s">
        <v>1425</v>
      </c>
      <c r="L16" s="2963"/>
      <c r="M16" s="1297"/>
    </row>
    <row r="17" spans="1:37" s="1861" customFormat="1" ht="18" customHeight="1">
      <c r="A17" s="1204" t="s">
        <v>1390</v>
      </c>
      <c r="B17" s="347" t="s">
        <v>1426</v>
      </c>
      <c r="C17" s="24">
        <f ca="1">ROUND(F17*(F43+INDIRECT("'数据-取费表'!S"&amp;$G$1)),0)</f>
        <v>458938</v>
      </c>
      <c r="D17" s="347" t="s">
        <v>1427</v>
      </c>
      <c r="E17" s="347" t="s">
        <v>1428</v>
      </c>
      <c r="F17" s="26">
        <f>'数据-取费表'!B35</f>
        <v>200</v>
      </c>
      <c r="G17" s="1857"/>
      <c r="H17" s="1204" t="s">
        <v>1035</v>
      </c>
      <c r="I17" s="347" t="s">
        <v>1429</v>
      </c>
      <c r="J17" s="24">
        <f ca="1">ROUND(IF(项目基本情况!B11="自然人",J5*M17,J18+J19+J20),0)</f>
        <v>83303</v>
      </c>
      <c r="K17" s="2960" t="s">
        <v>1430</v>
      </c>
      <c r="L17" s="296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89493</v>
      </c>
      <c r="D18" s="347" t="s">
        <v>1421</v>
      </c>
      <c r="E18" s="347" t="s">
        <v>1422</v>
      </c>
      <c r="F18" s="367">
        <f>'数据-取费表'!B36</f>
        <v>1.4999999999999999E-2</v>
      </c>
      <c r="G18" s="1857"/>
      <c r="H18" s="1204" t="s">
        <v>1034</v>
      </c>
      <c r="I18" s="347" t="s">
        <v>1433</v>
      </c>
      <c r="J18" s="24">
        <f ca="1">ROUND(J5*M18/(1+'数据-取费表'!C42),0)</f>
        <v>0</v>
      </c>
      <c r="K18" s="296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6693611</v>
      </c>
      <c r="D19" s="140" t="s">
        <v>1436</v>
      </c>
      <c r="E19" s="2948"/>
      <c r="F19" s="26"/>
      <c r="G19" s="1854"/>
      <c r="H19" s="1204" t="s">
        <v>1036</v>
      </c>
      <c r="I19" s="347" t="s">
        <v>1437</v>
      </c>
      <c r="J19" s="24">
        <f ca="1">IF(K19="按租金收入计税",ROUND(J5*M19,0),ROUND(C29*M19*0.7,0))</f>
        <v>76846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133872</v>
      </c>
      <c r="D20" s="369" t="s">
        <v>1440</v>
      </c>
      <c r="E20" s="347" t="s">
        <v>1422</v>
      </c>
      <c r="F20" s="367">
        <f>'数据-取费表'!B37</f>
        <v>0.02</v>
      </c>
      <c r="G20" s="1857"/>
      <c r="H20" s="1204" t="s">
        <v>1389</v>
      </c>
      <c r="I20" s="164" t="s">
        <v>1441</v>
      </c>
      <c r="J20" s="25">
        <f ca="1">ROUND(M20*M21,0)</f>
        <v>6457</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587.04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ROUND(J14*M22,0)</f>
        <v>137225</v>
      </c>
      <c r="K22" s="296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241812</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2962"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2948"/>
      <c r="F25" s="26"/>
      <c r="G25" s="1854"/>
      <c r="H25" s="1332" t="s">
        <v>1031</v>
      </c>
      <c r="I25" s="1347" t="s">
        <v>1463</v>
      </c>
      <c r="J25" s="355">
        <f ca="1">J5-J16</f>
        <v>-220528</v>
      </c>
      <c r="K25" s="1348" t="s">
        <v>1464</v>
      </c>
      <c r="L25" s="1349"/>
      <c r="M25" s="1350"/>
    </row>
    <row r="26" spans="1:37" ht="18" customHeight="1">
      <c r="A26" s="1204" t="s">
        <v>1034</v>
      </c>
      <c r="B26" s="347" t="s">
        <v>1465</v>
      </c>
      <c r="C26" s="24">
        <f ca="1">ROUND((C19+C20)*F26,0)</f>
        <v>1365497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9148364</v>
      </c>
      <c r="D29" s="1345"/>
      <c r="E29" s="1343"/>
      <c r="F29" s="1346"/>
      <c r="G29" s="1857"/>
      <c r="H29" s="380" t="s">
        <v>1033</v>
      </c>
      <c r="I29" s="381" t="s">
        <v>1479</v>
      </c>
      <c r="J29" s="382">
        <f ca="1">ROUND(J26/(1+F40)^F41,0)</f>
        <v>0</v>
      </c>
      <c r="K29" s="383" t="s">
        <v>1480</v>
      </c>
      <c r="L29" s="384"/>
      <c r="M29" s="385">
        <f ca="1">INDIRECT("'数据-取费表'!k"&amp;$G$1)</f>
        <v>2294.6900000000005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376282</v>
      </c>
      <c r="D30" s="1340" t="s">
        <v>1425</v>
      </c>
      <c r="E30" s="2963"/>
      <c r="F30" s="1297"/>
      <c r="G30" s="1854"/>
      <c r="H30" s="745"/>
      <c r="I30" s="746"/>
      <c r="J30" s="747"/>
      <c r="K30" s="748"/>
      <c r="L30" s="749"/>
      <c r="M30" s="750"/>
    </row>
    <row r="31" spans="1:37" ht="18" customHeight="1">
      <c r="A31" s="1204" t="s">
        <v>1035</v>
      </c>
      <c r="B31" s="347" t="s">
        <v>1429</v>
      </c>
      <c r="C31" s="24">
        <f ca="1">ROUND(IF(项目基本情况!B11="自然人",C5*F31,C32+C33+C34),0)</f>
        <v>202692</v>
      </c>
      <c r="D31" s="2960" t="s">
        <v>1430</v>
      </c>
      <c r="E31" s="296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60380</v>
      </c>
      <c r="D32" s="296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135855</v>
      </c>
      <c r="D33" s="3000" t="s">
        <v>3156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6457</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587.04</v>
      </c>
      <c r="G35" s="1854"/>
      <c r="H35" s="745"/>
      <c r="I35" s="1863"/>
      <c r="J35" s="1864"/>
      <c r="K35" s="1865"/>
      <c r="L35" s="1862"/>
      <c r="M35" s="1862"/>
    </row>
    <row r="36" spans="1:18" ht="18" customHeight="1">
      <c r="A36" s="1355" t="s">
        <v>1039</v>
      </c>
      <c r="B36" s="347" t="s">
        <v>1449</v>
      </c>
      <c r="C36" s="24">
        <f ca="1">ROUND(C29*F36,0)</f>
        <v>137225</v>
      </c>
      <c r="D36" s="296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13723</v>
      </c>
      <c r="D37" s="2962"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22642.400000000001</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755839</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15584718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6792</v>
      </c>
      <c r="D43" s="383" t="s">
        <v>1488</v>
      </c>
      <c r="E43" s="384" t="s">
        <v>1489</v>
      </c>
      <c r="F43" s="385">
        <f ca="1">INDIRECT("'数据-取费表'!k"&amp;$G$1)</f>
        <v>2294.6900000000005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-34675281</v>
      </c>
      <c r="D45" s="1943" t="s">
        <v>1604</v>
      </c>
      <c r="E45" s="1869"/>
      <c r="F45" s="1869"/>
      <c r="O45" s="1872" t="s">
        <v>1519</v>
      </c>
      <c r="P45" s="1842"/>
      <c r="Q45" s="1842"/>
      <c r="R45" s="1842"/>
    </row>
    <row r="46" spans="1:18" s="1845" customFormat="1" ht="13.5" thickBot="1">
      <c r="A46" s="1873" t="s">
        <v>1520</v>
      </c>
      <c r="C46" s="1874">
        <f ca="1">ROUND(C45/10000,0)</f>
        <v>-3468</v>
      </c>
      <c r="D46" s="1875" t="str">
        <f>C2</f>
        <v>万元</v>
      </c>
      <c r="I46" s="1876" t="s">
        <v>1521</v>
      </c>
      <c r="J46" s="1877"/>
      <c r="K46" s="1878"/>
      <c r="L46" s="1879">
        <f ca="1">IF(M47="住宅",0,IF(L48&gt;J51,L60,J60))</f>
        <v>270794</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15584718</v>
      </c>
      <c r="R47" s="1889" t="s">
        <v>1529</v>
      </c>
    </row>
    <row r="48" spans="1:18" s="1845" customFormat="1" ht="28.5" thickBot="1">
      <c r="A48" s="1363" t="s">
        <v>1135</v>
      </c>
      <c r="B48" s="345" t="s">
        <v>1401</v>
      </c>
      <c r="C48" s="2947">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f ca="1">J60</f>
        <v>270794</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9148364</v>
      </c>
      <c r="R49" s="1889" t="s">
        <v>1529</v>
      </c>
    </row>
    <row r="50" spans="1:18" s="1845" customFormat="1" ht="13.5" thickBot="1">
      <c r="A50" s="1198"/>
      <c r="B50" s="1201"/>
      <c r="C50" s="1202"/>
      <c r="D50" s="1175"/>
      <c r="E50" s="1280" t="s">
        <v>1406</v>
      </c>
      <c r="F50" s="1281">
        <f ca="1">F7</f>
        <v>2294.6900000000005</v>
      </c>
      <c r="H50" s="793"/>
      <c r="I50" s="1890" t="s">
        <v>1537</v>
      </c>
      <c r="J50" s="1898">
        <f>SUMPRODUCT((I63:I65=J47)*(J62:L62=J48)*(J63:L65))</f>
        <v>60</v>
      </c>
      <c r="K50" s="1892" t="s">
        <v>1538</v>
      </c>
      <c r="L50" s="1896"/>
      <c r="M50" s="1899"/>
      <c r="O50" s="1897" t="s">
        <v>1043</v>
      </c>
      <c r="P50" s="1888" t="s">
        <v>1539</v>
      </c>
      <c r="Q50" s="1900">
        <f ca="1">J58</f>
        <v>0.44600000000000001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409400</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91" t="s">
        <v>1548</v>
      </c>
      <c r="L53" s="3192"/>
      <c r="O53" s="1887" t="s">
        <v>1046</v>
      </c>
      <c r="P53" s="1888" t="s">
        <v>1549</v>
      </c>
      <c r="Q53" s="1889">
        <f ca="1">Q47+Q48</f>
        <v>15855512</v>
      </c>
      <c r="R53" s="1889" t="s">
        <v>1047</v>
      </c>
    </row>
    <row r="54" spans="1:18" s="1845" customFormat="1" ht="13.5" thickBot="1">
      <c r="A54" s="1197"/>
      <c r="B54" s="1944" t="s">
        <v>1603</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f ca="1">ROUND(IF(J47="钢混",J57/J50,1-(1-2%)*(J50-J57)/J50),3)</f>
        <v>0.44600000000000001</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9148364</v>
      </c>
      <c r="D56" s="1917"/>
      <c r="E56" s="1918"/>
      <c r="F56" s="1910"/>
      <c r="I56" s="1919" t="s">
        <v>1554</v>
      </c>
      <c r="J56" s="1920" t="s">
        <v>3057</v>
      </c>
      <c r="K56" s="1890" t="s">
        <v>1555</v>
      </c>
      <c r="L56" s="1893" t="str">
        <f ca="1">IF(L48&lt;J51,"——",L48-J51)</f>
        <v>——</v>
      </c>
      <c r="O56" s="1887" t="s">
        <v>1040</v>
      </c>
      <c r="P56" s="1888" t="s">
        <v>1528</v>
      </c>
      <c r="Q56" s="1889">
        <f ca="1">C40+J29</f>
        <v>15584718</v>
      </c>
      <c r="R56" s="1889" t="s">
        <v>1529</v>
      </c>
    </row>
    <row r="57" spans="1:18" s="1845" customFormat="1" ht="24.75" thickBot="1">
      <c r="A57" s="1921"/>
      <c r="B57" s="1172" t="s">
        <v>1478</v>
      </c>
      <c r="C57" s="282">
        <f ca="1">C29</f>
        <v>9148364</v>
      </c>
      <c r="D57" s="1922"/>
      <c r="E57" s="1923"/>
      <c r="F57" s="1924"/>
      <c r="I57" s="1925" t="s">
        <v>1556</v>
      </c>
      <c r="J57" s="1926">
        <f ca="1">IF(OR(M47="住宅",J51&lt;L48,J56="是"),"——",J51-L48)</f>
        <v>26.75</v>
      </c>
      <c r="K57" s="1890" t="s">
        <v>1605</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925868</v>
      </c>
      <c r="D58" s="1182" t="s">
        <v>1425</v>
      </c>
      <c r="E58" s="1183"/>
      <c r="F58" s="1184"/>
      <c r="I58" s="1925" t="s">
        <v>1560</v>
      </c>
      <c r="J58" s="1927">
        <f ca="1">IF(J55&lt;0.4,0.4,J55)</f>
        <v>0.44600000000000001</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774920</v>
      </c>
      <c r="D59" s="1185" t="s">
        <v>1430</v>
      </c>
      <c r="E59" s="1186" t="s">
        <v>1431</v>
      </c>
      <c r="F59" s="368" t="str">
        <f ca="1">IF(项目基本情况!B11="企业","",IF(INDIRECT("'数据-取费表'!c"&amp;$G$1)="住宅",5%,IF(F49*F50*F51/12/(1+'数据-取费表'!C42)&gt;20000,12%,7%)))</f>
        <v/>
      </c>
      <c r="I59" s="1925" t="s">
        <v>1563</v>
      </c>
      <c r="J59" s="1926">
        <f ca="1">IF(OR(M47="住宅",J51&lt;L48,J56="是"),"——",ROUND(C29*J58,0))</f>
        <v>4080170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270794</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IF(项目基本情况!B11="自然人","——",IF(D61="按租金收入计税",ROUND(C48*F61,0),IF(D61="按房产原值计税",ROUND(C57*F61*0.7,0),INDIRECT("'数据-取费表'!Aj"&amp;$G$1))))</f>
        <v>768463</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IF(项目基本情况!B11="自然人","——",ROUND(F62*F63,0))</f>
        <v>6457</v>
      </c>
      <c r="D62" s="1187" t="s">
        <v>1442</v>
      </c>
      <c r="E62" s="1172" t="s">
        <v>1443</v>
      </c>
      <c r="F62" s="371">
        <f t="shared" si="0"/>
        <v>11</v>
      </c>
      <c r="I62" s="1932" t="s">
        <v>1570</v>
      </c>
      <c r="J62" s="1933" t="s">
        <v>1571</v>
      </c>
      <c r="K62" s="1933" t="s">
        <v>1572</v>
      </c>
      <c r="L62" s="1933" t="s">
        <v>1573</v>
      </c>
      <c r="M62" s="1934" t="s">
        <v>1574</v>
      </c>
      <c r="O62" s="1887" t="s">
        <v>1046</v>
      </c>
      <c r="P62" s="1888" t="s">
        <v>1549</v>
      </c>
      <c r="Q62" s="1889">
        <f ca="1">Q56+Q57</f>
        <v>15584718</v>
      </c>
      <c r="R62" s="1889" t="s">
        <v>1047</v>
      </c>
    </row>
    <row r="63" spans="1:18" s="1845" customFormat="1" ht="13.5" thickBot="1">
      <c r="A63" s="372"/>
      <c r="B63" s="1178"/>
      <c r="C63" s="29"/>
      <c r="D63" s="1188"/>
      <c r="E63" s="1172" t="s">
        <v>1447</v>
      </c>
      <c r="F63" s="348">
        <f t="shared" ca="1" si="0"/>
        <v>587.04</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ROUND(C57*F64,0)</f>
        <v>137225</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13723</v>
      </c>
      <c r="D65" s="1186" t="s">
        <v>1454</v>
      </c>
      <c r="E65" s="1172" t="s">
        <v>1422</v>
      </c>
      <c r="F65" s="376">
        <f t="shared" ca="1" si="0"/>
        <v>1.5E-3</v>
      </c>
      <c r="I65" s="1932" t="s">
        <v>1579</v>
      </c>
      <c r="J65" s="1933">
        <v>40</v>
      </c>
      <c r="K65" s="1933">
        <v>30</v>
      </c>
      <c r="L65" s="1933">
        <v>50</v>
      </c>
      <c r="M65" s="1935">
        <v>0.02</v>
      </c>
      <c r="O65" s="1887" t="s">
        <v>1040</v>
      </c>
      <c r="P65" s="1888" t="s">
        <v>1528</v>
      </c>
      <c r="Q65" s="1889">
        <f ca="1">C40+J29</f>
        <v>15584718</v>
      </c>
      <c r="R65" s="1889" t="s">
        <v>1529</v>
      </c>
    </row>
    <row r="66" spans="1:18" s="1845" customFormat="1" ht="16.5" thickBot="1">
      <c r="A66" s="1204" t="s">
        <v>1504</v>
      </c>
      <c r="B66" s="1172" t="s">
        <v>1439</v>
      </c>
      <c r="C66" s="24">
        <f ca="1">ROUND(C48*F66,0)</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-925868</v>
      </c>
      <c r="D67" s="1185" t="s">
        <v>1464</v>
      </c>
      <c r="E67" s="1190"/>
      <c r="F67" s="1191"/>
      <c r="O67" s="1897" t="s">
        <v>1042</v>
      </c>
      <c r="P67" s="1888" t="s">
        <v>1562</v>
      </c>
      <c r="Q67" s="1936">
        <f ca="1">L51</f>
        <v>409400</v>
      </c>
      <c r="R67" s="1889" t="s">
        <v>1582</v>
      </c>
    </row>
    <row r="68" spans="1:18" s="1845" customFormat="1" ht="16.5" thickBot="1">
      <c r="A68" s="1169" t="s">
        <v>1032</v>
      </c>
      <c r="B68" s="1170" t="s">
        <v>1485</v>
      </c>
      <c r="C68" s="346">
        <f ca="1">ROUND(C67*(1-((1+F70)/(1+F68))^F69)/(F68-F70),0)</f>
        <v>-19090563</v>
      </c>
      <c r="D68" s="1187" t="s">
        <v>1469</v>
      </c>
      <c r="E68" s="1172" t="s">
        <v>1470</v>
      </c>
      <c r="F68" s="357">
        <f ca="1">F40</f>
        <v>0.05</v>
      </c>
      <c r="O68" s="1897" t="s">
        <v>1043</v>
      </c>
      <c r="P68" s="1937" t="s">
        <v>1583</v>
      </c>
      <c r="Q68" s="1889">
        <f ca="1">ROUND(Q69-Q70*Q71,0)</f>
        <v>23970</v>
      </c>
      <c r="R68" s="1889" t="s">
        <v>1051</v>
      </c>
    </row>
    <row r="69" spans="1:18" s="1845" customFormat="1" ht="13.5" thickBot="1">
      <c r="A69" s="1173"/>
      <c r="B69" s="1174"/>
      <c r="C69" s="351"/>
      <c r="D69" s="1192" t="s">
        <v>1473</v>
      </c>
      <c r="E69" s="1172" t="s">
        <v>1474</v>
      </c>
      <c r="F69" s="379">
        <f ca="1">F41</f>
        <v>33.25</v>
      </c>
      <c r="O69" s="1897" t="s">
        <v>1048</v>
      </c>
      <c r="P69" s="1937" t="s">
        <v>1584</v>
      </c>
      <c r="Q69" s="1889">
        <f ca="1">C39</f>
        <v>755839</v>
      </c>
      <c r="R69" s="1889" t="s">
        <v>1529</v>
      </c>
    </row>
    <row r="70" spans="1:18" s="1845" customFormat="1" ht="13.5" thickBot="1">
      <c r="A70" s="1176"/>
      <c r="B70" s="1177"/>
      <c r="C70" s="355"/>
      <c r="D70" s="1188"/>
      <c r="E70" s="1172" t="s">
        <v>1477</v>
      </c>
      <c r="F70" s="1278">
        <f ca="1">F42</f>
        <v>0.02</v>
      </c>
      <c r="O70" s="1897" t="s">
        <v>1049</v>
      </c>
      <c r="P70" s="1937" t="s">
        <v>1585</v>
      </c>
      <c r="Q70" s="1889">
        <f ca="1">C13</f>
        <v>9148364</v>
      </c>
      <c r="R70" s="1889" t="s">
        <v>1529</v>
      </c>
    </row>
    <row r="71" spans="1:18" s="1845" customFormat="1" ht="13.5" thickBot="1">
      <c r="A71" s="1193" t="s">
        <v>1033</v>
      </c>
      <c r="B71" s="1194" t="s">
        <v>1487</v>
      </c>
      <c r="C71" s="382">
        <f ca="1">ROUND(C68/F71,0)</f>
        <v>-8319</v>
      </c>
      <c r="D71" s="1195" t="s">
        <v>1488</v>
      </c>
      <c r="E71" s="1196" t="s">
        <v>1489</v>
      </c>
      <c r="F71" s="385">
        <f ca="1">F43</f>
        <v>2294.6900000000005</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731869</v>
      </c>
      <c r="D75" s="1845"/>
      <c r="E75" s="1845"/>
      <c r="F75" s="1845"/>
      <c r="K75" s="1871"/>
      <c r="L75" s="1845"/>
      <c r="O75" s="1887" t="s">
        <v>1046</v>
      </c>
      <c r="P75" s="1888" t="s">
        <v>1549</v>
      </c>
      <c r="Q75" s="1889">
        <f ca="1">Q65+Q66</f>
        <v>15584718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3.2000000000000028E-2</v>
      </c>
    </row>
    <row r="80" spans="1:18">
      <c r="B80" s="386" t="s">
        <v>1511</v>
      </c>
      <c r="C80" s="318">
        <f ca="1">ROUND(C75/C39,3)</f>
        <v>0.96799999999999997</v>
      </c>
    </row>
    <row r="81" spans="2:3">
      <c r="B81" s="314" t="s">
        <v>1512</v>
      </c>
      <c r="C81" s="282"/>
    </row>
    <row r="82" spans="2:3">
      <c r="B82" s="317" t="s">
        <v>1513</v>
      </c>
      <c r="C82" s="319">
        <f ca="1">1-C83</f>
        <v>0.41300000000000003</v>
      </c>
    </row>
    <row r="83" spans="2:3">
      <c r="B83" s="317" t="s">
        <v>1514</v>
      </c>
      <c r="C83" s="318">
        <f ca="1">ROUND(C13/C40,3)</f>
        <v>0.58699999999999997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2644.5600000000004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6"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6"/>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6"/>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6"/>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2558</v>
      </c>
      <c r="Q15" s="1813" t="str">
        <f t="shared" si="6"/>
        <v>产业集聚程度</v>
      </c>
      <c r="R15" s="774" t="s">
        <v>17</v>
      </c>
      <c r="S15" s="775">
        <f t="shared" si="0"/>
        <v>100</v>
      </c>
      <c r="T15" s="774" t="s">
        <v>17</v>
      </c>
      <c r="U15" s="775">
        <f t="shared" si="1"/>
        <v>100</v>
      </c>
      <c r="V15" s="774" t="s">
        <v>17</v>
      </c>
      <c r="W15" s="775">
        <f t="shared" si="2"/>
        <v>100</v>
      </c>
      <c r="X15" s="1816"/>
      <c r="Y15" s="3203"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4"/>
      <c r="Q18" s="1813"/>
      <c r="R18" s="774"/>
      <c r="S18" s="775"/>
      <c r="T18" s="774"/>
      <c r="U18" s="775"/>
      <c r="V18" s="774"/>
      <c r="W18" s="775"/>
      <c r="X18" s="1816"/>
      <c r="Y18" s="3204"/>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4"/>
      <c r="Q20" s="1813"/>
      <c r="R20" s="774"/>
      <c r="S20" s="775"/>
      <c r="T20" s="774"/>
      <c r="U20" s="775"/>
      <c r="V20" s="774"/>
      <c r="W20" s="775"/>
      <c r="X20" s="1816"/>
      <c r="Y20" s="3204"/>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4"/>
      <c r="Q22" s="1813"/>
      <c r="R22" s="774"/>
      <c r="S22" s="775"/>
      <c r="T22" s="774"/>
      <c r="U22" s="775"/>
      <c r="V22" s="774"/>
      <c r="W22" s="775"/>
      <c r="X22" s="1816"/>
      <c r="Y22" s="3204"/>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3" t="str">
        <f>B23</f>
        <v>环境质量</v>
      </c>
      <c r="R23" s="774" t="s">
        <v>17</v>
      </c>
      <c r="S23" s="775">
        <f>F23</f>
        <v>100</v>
      </c>
      <c r="T23" s="774" t="s">
        <v>17</v>
      </c>
      <c r="U23" s="775">
        <f>H23</f>
        <v>100</v>
      </c>
      <c r="V23" s="774" t="s">
        <v>17</v>
      </c>
      <c r="W23" s="775">
        <f>J23</f>
        <v>100</v>
      </c>
      <c r="X23" s="1816"/>
      <c r="Y23" s="3204"/>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4"/>
      <c r="Q24" s="1813"/>
      <c r="R24" s="774"/>
      <c r="S24" s="775"/>
      <c r="T24" s="774"/>
      <c r="U24" s="775"/>
      <c r="V24" s="774"/>
      <c r="W24" s="775"/>
      <c r="X24" s="1816"/>
      <c r="Y24" s="320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3">
        <f>B25</f>
        <v>111</v>
      </c>
      <c r="R25" s="774" t="s">
        <v>17</v>
      </c>
      <c r="S25" s="775">
        <f>F25</f>
        <v>100</v>
      </c>
      <c r="T25" s="774" t="s">
        <v>17</v>
      </c>
      <c r="U25" s="775">
        <f>H25</f>
        <v>100</v>
      </c>
      <c r="V25" s="774" t="s">
        <v>17</v>
      </c>
      <c r="W25" s="775">
        <f>J25</f>
        <v>100</v>
      </c>
      <c r="X25" s="1816"/>
      <c r="Y25" s="320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3">
        <f t="shared" ref="Q26:Q40" si="11">B26</f>
        <v>111</v>
      </c>
      <c r="R26" s="774" t="s">
        <v>17</v>
      </c>
      <c r="S26" s="775">
        <f>F26</f>
        <v>100</v>
      </c>
      <c r="T26" s="774" t="s">
        <v>17</v>
      </c>
      <c r="U26" s="775">
        <f>H26</f>
        <v>100</v>
      </c>
      <c r="V26" s="774" t="s">
        <v>17</v>
      </c>
      <c r="W26" s="775">
        <f>J26</f>
        <v>100</v>
      </c>
      <c r="X26" s="1816"/>
      <c r="Y26" s="320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8">
        <f t="shared" si="11"/>
        <v>111</v>
      </c>
      <c r="R27" s="770" t="s">
        <v>17</v>
      </c>
      <c r="S27" s="771">
        <f>F27</f>
        <v>100</v>
      </c>
      <c r="T27" s="770" t="s">
        <v>17</v>
      </c>
      <c r="U27" s="771">
        <f>H27</f>
        <v>100</v>
      </c>
      <c r="V27" s="770" t="s">
        <v>17</v>
      </c>
      <c r="W27" s="771">
        <f>J27</f>
        <v>100</v>
      </c>
      <c r="X27" s="772"/>
      <c r="Y27" s="320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3">
        <f t="shared" si="11"/>
        <v>111</v>
      </c>
      <c r="R28" s="774" t="s">
        <v>17</v>
      </c>
      <c r="S28" s="775">
        <f t="shared" ref="S28:S40" si="12">F28</f>
        <v>100</v>
      </c>
      <c r="T28" s="774" t="s">
        <v>17</v>
      </c>
      <c r="U28" s="775">
        <f t="shared" ref="U28:U40" si="13">H28</f>
        <v>100</v>
      </c>
      <c r="V28" s="774" t="s">
        <v>17</v>
      </c>
      <c r="W28" s="775">
        <f t="shared" ref="W28:W40" si="14">J28</f>
        <v>100</v>
      </c>
      <c r="X28" s="1816"/>
      <c r="Y28" s="3204"/>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81" t="s">
        <v>2563</v>
      </c>
      <c r="Q29" s="1813" t="str">
        <f t="shared" si="11"/>
        <v>建筑类型</v>
      </c>
      <c r="R29" s="774" t="s">
        <v>17</v>
      </c>
      <c r="S29" s="775">
        <f t="shared" si="12"/>
        <v>100</v>
      </c>
      <c r="T29" s="774" t="s">
        <v>17</v>
      </c>
      <c r="U29" s="775">
        <f t="shared" si="13"/>
        <v>100</v>
      </c>
      <c r="V29" s="774" t="s">
        <v>17</v>
      </c>
      <c r="W29" s="775">
        <f t="shared" si="14"/>
        <v>100</v>
      </c>
      <c r="X29" s="1816"/>
      <c r="Y29" s="3208"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8"/>
      <c r="Q31" s="1813" t="str">
        <f t="shared" si="11"/>
        <v>建筑结构</v>
      </c>
      <c r="R31" s="774" t="s">
        <v>17</v>
      </c>
      <c r="S31" s="775">
        <f t="shared" si="12"/>
        <v>100</v>
      </c>
      <c r="T31" s="774" t="s">
        <v>17</v>
      </c>
      <c r="U31" s="775">
        <f t="shared" si="13"/>
        <v>100</v>
      </c>
      <c r="V31" s="774" t="s">
        <v>17</v>
      </c>
      <c r="W31" s="775">
        <f t="shared" si="14"/>
        <v>100</v>
      </c>
      <c r="X31" s="1816"/>
      <c r="Y31" s="3208"/>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8"/>
      <c r="Q32" s="1813" t="str">
        <f t="shared" si="11"/>
        <v>公共部分装修</v>
      </c>
      <c r="R32" s="774" t="s">
        <v>17</v>
      </c>
      <c r="S32" s="775">
        <f t="shared" si="12"/>
        <v>100</v>
      </c>
      <c r="T32" s="774" t="s">
        <v>17</v>
      </c>
      <c r="U32" s="775">
        <f t="shared" si="13"/>
        <v>100</v>
      </c>
      <c r="V32" s="774" t="s">
        <v>17</v>
      </c>
      <c r="W32" s="775">
        <f t="shared" si="14"/>
        <v>100</v>
      </c>
      <c r="X32" s="1816"/>
      <c r="Y32" s="3208"/>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8"/>
      <c r="Q33" s="1813" t="str">
        <f t="shared" si="11"/>
        <v>成新度</v>
      </c>
      <c r="R33" s="774" t="s">
        <v>17</v>
      </c>
      <c r="S33" s="775" t="e">
        <f t="shared" si="12"/>
        <v>#N/A</v>
      </c>
      <c r="T33" s="774" t="s">
        <v>17</v>
      </c>
      <c r="U33" s="775" t="e">
        <f t="shared" si="13"/>
        <v>#N/A</v>
      </c>
      <c r="V33" s="774" t="s">
        <v>17</v>
      </c>
      <c r="W33" s="775" t="e">
        <f t="shared" si="14"/>
        <v>#N/A</v>
      </c>
      <c r="X33" s="1816"/>
      <c r="Y33" s="3208"/>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8"/>
      <c r="Q34" s="1798"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8" t="s">
        <v>2563</v>
      </c>
      <c r="Q35" s="1813" t="str">
        <f t="shared" si="11"/>
        <v>市政基础设施</v>
      </c>
      <c r="R35" s="774" t="s">
        <v>17</v>
      </c>
      <c r="S35" s="775">
        <f t="shared" si="12"/>
        <v>100</v>
      </c>
      <c r="T35" s="774" t="s">
        <v>17</v>
      </c>
      <c r="U35" s="775">
        <f t="shared" si="13"/>
        <v>100</v>
      </c>
      <c r="V35" s="774" t="s">
        <v>17</v>
      </c>
      <c r="W35" s="775">
        <f t="shared" si="14"/>
        <v>100</v>
      </c>
      <c r="X35" s="1816"/>
      <c r="Y35" s="3208"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8"/>
      <c r="Q36" s="1813" t="str">
        <f t="shared" si="11"/>
        <v>内部装修</v>
      </c>
      <c r="R36" s="774" t="s">
        <v>17</v>
      </c>
      <c r="S36" s="775">
        <f t="shared" si="12"/>
        <v>100</v>
      </c>
      <c r="T36" s="774" t="s">
        <v>17</v>
      </c>
      <c r="U36" s="775">
        <f t="shared" si="13"/>
        <v>100</v>
      </c>
      <c r="V36" s="774" t="s">
        <v>17</v>
      </c>
      <c r="W36" s="775">
        <f t="shared" si="14"/>
        <v>100</v>
      </c>
      <c r="X36" s="1816"/>
      <c r="Y36" s="3208"/>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8"/>
      <c r="Q37" s="1813" t="str">
        <f t="shared" si="11"/>
        <v>内部装修状况</v>
      </c>
      <c r="R37" s="774" t="s">
        <v>17</v>
      </c>
      <c r="S37" s="775">
        <f t="shared" si="12"/>
        <v>100</v>
      </c>
      <c r="T37" s="774" t="s">
        <v>17</v>
      </c>
      <c r="U37" s="775">
        <f t="shared" si="13"/>
        <v>100</v>
      </c>
      <c r="V37" s="774" t="s">
        <v>17</v>
      </c>
      <c r="W37" s="775">
        <f t="shared" si="14"/>
        <v>100</v>
      </c>
      <c r="X37" s="1816"/>
      <c r="Y37" s="320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8"/>
      <c r="Q39" s="1813">
        <f t="shared" si="11"/>
        <v>111</v>
      </c>
      <c r="R39" s="774" t="s">
        <v>17</v>
      </c>
      <c r="S39" s="775">
        <f t="shared" si="12"/>
        <v>100</v>
      </c>
      <c r="T39" s="774" t="s">
        <v>17</v>
      </c>
      <c r="U39" s="775">
        <f t="shared" si="13"/>
        <v>100</v>
      </c>
      <c r="V39" s="774" t="s">
        <v>17</v>
      </c>
      <c r="W39" s="775">
        <f t="shared" si="14"/>
        <v>100</v>
      </c>
      <c r="X39" s="1816"/>
      <c r="Y39" s="3208"/>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9"/>
      <c r="Q40" s="1813">
        <f t="shared" si="11"/>
        <v>111</v>
      </c>
      <c r="R40" s="774" t="s">
        <v>17</v>
      </c>
      <c r="S40" s="775">
        <f t="shared" si="12"/>
        <v>100</v>
      </c>
      <c r="T40" s="774" t="s">
        <v>17</v>
      </c>
      <c r="U40" s="775">
        <f t="shared" si="13"/>
        <v>100</v>
      </c>
      <c r="V40" s="774" t="s">
        <v>17</v>
      </c>
      <c r="W40" s="775">
        <f t="shared" si="14"/>
        <v>100</v>
      </c>
      <c r="X40" s="1816"/>
      <c r="Y40" s="3209"/>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96" t="str">
        <f>A41</f>
        <v>成交单价（元/平方米）</v>
      </c>
      <c r="Q41" s="3196"/>
      <c r="R41" s="3197">
        <f>E41</f>
        <v>0</v>
      </c>
      <c r="S41" s="3197"/>
      <c r="T41" s="3197">
        <f>G41</f>
        <v>0</v>
      </c>
      <c r="U41" s="3197"/>
      <c r="V41" s="3197">
        <f>I41</f>
        <v>0</v>
      </c>
      <c r="W41" s="3197"/>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5" t="s">
        <v>2547</v>
      </c>
      <c r="Q7" s="3237"/>
      <c r="R7" s="770" t="s">
        <v>17</v>
      </c>
      <c r="S7" s="771">
        <f t="shared" ref="S7:S14" si="0">F7</f>
        <v>0</v>
      </c>
      <c r="T7" s="770" t="s">
        <v>17</v>
      </c>
      <c r="U7" s="771">
        <f t="shared" ref="U7:U14" si="1">H7</f>
        <v>0</v>
      </c>
      <c r="V7" s="770" t="s">
        <v>17</v>
      </c>
      <c r="W7" s="771">
        <f t="shared" ref="W7:W14" si="2">J7</f>
        <v>0</v>
      </c>
      <c r="X7" s="772"/>
      <c r="Y7" s="3235" t="s">
        <v>2547</v>
      </c>
      <c r="Z7" s="323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6" t="s">
        <v>2553</v>
      </c>
      <c r="Q9" s="1798" t="str">
        <f t="shared" ref="Q9:Q14" si="6">B9</f>
        <v>用途</v>
      </c>
      <c r="R9" s="770" t="s">
        <v>17</v>
      </c>
      <c r="S9" s="771">
        <f t="shared" si="0"/>
        <v>100</v>
      </c>
      <c r="T9" s="770" t="s">
        <v>17</v>
      </c>
      <c r="U9" s="771">
        <f t="shared" si="1"/>
        <v>100</v>
      </c>
      <c r="V9" s="770" t="s">
        <v>17</v>
      </c>
      <c r="W9" s="771">
        <f t="shared" si="2"/>
        <v>100</v>
      </c>
      <c r="X9" s="772"/>
      <c r="Y9" s="3046"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6"/>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2558</v>
      </c>
      <c r="Q14" s="1813" t="str">
        <f t="shared" si="6"/>
        <v>交通便捷度</v>
      </c>
      <c r="R14" s="774" t="s">
        <v>17</v>
      </c>
      <c r="S14" s="775">
        <f t="shared" si="0"/>
        <v>100</v>
      </c>
      <c r="T14" s="774" t="s">
        <v>17</v>
      </c>
      <c r="U14" s="775">
        <f t="shared" si="1"/>
        <v>100</v>
      </c>
      <c r="V14" s="774" t="s">
        <v>17</v>
      </c>
      <c r="W14" s="775">
        <f t="shared" si="2"/>
        <v>100</v>
      </c>
      <c r="X14" s="1816"/>
      <c r="Y14" s="3203"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4"/>
      <c r="Q15" s="1813"/>
      <c r="R15" s="774"/>
      <c r="S15" s="775"/>
      <c r="T15" s="774"/>
      <c r="U15" s="775"/>
      <c r="V15" s="774"/>
      <c r="W15" s="775"/>
      <c r="X15" s="1816"/>
      <c r="Y15" s="3204"/>
      <c r="Z15" s="1817"/>
      <c r="AA15" s="1814">
        <v>1</v>
      </c>
      <c r="AB15" s="1814">
        <v>1</v>
      </c>
      <c r="AC15" s="1814">
        <v>1</v>
      </c>
    </row>
    <row r="16" spans="1:29" ht="42.75">
      <c r="A16" s="404"/>
      <c r="B16" s="631" t="s">
        <v>2686</v>
      </c>
      <c r="C16" s="2610"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4"/>
      <c r="Q17" s="1813"/>
      <c r="R17" s="774"/>
      <c r="S17" s="775"/>
      <c r="T17" s="774"/>
      <c r="U17" s="775"/>
      <c r="V17" s="774"/>
      <c r="W17" s="775"/>
      <c r="X17" s="1816"/>
      <c r="Y17" s="3204"/>
      <c r="Z17" s="1817"/>
      <c r="AA17" s="1814">
        <v>1</v>
      </c>
      <c r="AB17" s="1814">
        <v>1</v>
      </c>
      <c r="AC17" s="1814">
        <v>1</v>
      </c>
    </row>
    <row r="18" spans="1:29" ht="28.5">
      <c r="A18" s="404"/>
      <c r="B18" s="633" t="s">
        <v>2687</v>
      </c>
      <c r="C18" s="2610" t="str">
        <f>IF(B1="工业",估价对象房地状况!G6,估价对象房地状况!C8)</f>
        <v>估价对象所在区域基础设施七通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4"/>
      <c r="Q19" s="1813"/>
      <c r="R19" s="774"/>
      <c r="S19" s="775"/>
      <c r="T19" s="774"/>
      <c r="U19" s="775"/>
      <c r="V19" s="774"/>
      <c r="W19" s="775"/>
      <c r="X19" s="1816"/>
      <c r="Y19" s="3204"/>
      <c r="Z19" s="1817"/>
      <c r="AA19" s="1814">
        <v>1</v>
      </c>
      <c r="AB19" s="1814">
        <v>1</v>
      </c>
      <c r="AC19" s="1814">
        <v>1</v>
      </c>
    </row>
    <row r="20" spans="1:29" ht="57">
      <c r="A20" s="404"/>
      <c r="B20" s="631" t="s">
        <v>2708</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4"/>
      <c r="Q21" s="1813"/>
      <c r="R21" s="774"/>
      <c r="S21" s="775"/>
      <c r="T21" s="774"/>
      <c r="U21" s="775"/>
      <c r="V21" s="774"/>
      <c r="W21" s="775"/>
      <c r="X21" s="1816"/>
      <c r="Y21" s="3204"/>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3">
        <f t="shared" ref="Q24:Q36"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81"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8"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8"/>
      <c r="Q28" s="1813" t="str">
        <f t="shared" si="11"/>
        <v>公共部分装修</v>
      </c>
      <c r="R28" s="774" t="s">
        <v>17</v>
      </c>
      <c r="S28" s="775">
        <f t="shared" si="12"/>
        <v>100</v>
      </c>
      <c r="T28" s="774" t="s">
        <v>17</v>
      </c>
      <c r="U28" s="775">
        <f t="shared" si="13"/>
        <v>100</v>
      </c>
      <c r="V28" s="774" t="s">
        <v>17</v>
      </c>
      <c r="W28" s="775">
        <f t="shared" si="14"/>
        <v>100</v>
      </c>
      <c r="X28" s="1816"/>
      <c r="Y28" s="3208"/>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8"/>
      <c r="Q29" s="1813" t="str">
        <f t="shared" si="11"/>
        <v>成新率</v>
      </c>
      <c r="R29" s="774" t="s">
        <v>17</v>
      </c>
      <c r="S29" s="775" t="e">
        <f t="shared" si="12"/>
        <v>#N/A</v>
      </c>
      <c r="T29" s="774" t="s">
        <v>17</v>
      </c>
      <c r="U29" s="775" t="e">
        <f t="shared" si="13"/>
        <v>#N/A</v>
      </c>
      <c r="V29" s="774" t="s">
        <v>17</v>
      </c>
      <c r="W29" s="775" t="e">
        <f t="shared" si="14"/>
        <v>#N/A</v>
      </c>
      <c r="X29" s="1816"/>
      <c r="Y29" s="3208"/>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8"/>
      <c r="Q30" s="1813" t="str">
        <f t="shared" si="11"/>
        <v>物业等级</v>
      </c>
      <c r="R30" s="774" t="s">
        <v>17</v>
      </c>
      <c r="S30" s="775">
        <f t="shared" si="12"/>
        <v>100</v>
      </c>
      <c r="T30" s="774" t="s">
        <v>17</v>
      </c>
      <c r="U30" s="775">
        <f t="shared" si="13"/>
        <v>100</v>
      </c>
      <c r="V30" s="774" t="s">
        <v>17</v>
      </c>
      <c r="W30" s="775">
        <f t="shared" si="14"/>
        <v>100</v>
      </c>
      <c r="X30" s="1816"/>
      <c r="Y30" s="3208"/>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8"/>
      <c r="Q31" s="1798"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8" t="s">
        <v>2563</v>
      </c>
      <c r="Q32" s="1813" t="str">
        <f t="shared" si="11"/>
        <v>车位类型</v>
      </c>
      <c r="R32" s="774" t="s">
        <v>17</v>
      </c>
      <c r="S32" s="775">
        <f t="shared" si="12"/>
        <v>100</v>
      </c>
      <c r="T32" s="774" t="s">
        <v>17</v>
      </c>
      <c r="U32" s="775">
        <f t="shared" si="13"/>
        <v>100</v>
      </c>
      <c r="V32" s="774" t="s">
        <v>17</v>
      </c>
      <c r="W32" s="775">
        <f t="shared" si="14"/>
        <v>100</v>
      </c>
      <c r="X32" s="1816"/>
      <c r="Y32" s="3208"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8"/>
      <c r="Q33" s="1813" t="str">
        <f t="shared" si="11"/>
        <v>是否直接入户</v>
      </c>
      <c r="R33" s="774" t="s">
        <v>17</v>
      </c>
      <c r="S33" s="775">
        <f t="shared" si="12"/>
        <v>100</v>
      </c>
      <c r="T33" s="774" t="s">
        <v>17</v>
      </c>
      <c r="U33" s="775">
        <f t="shared" si="13"/>
        <v>100</v>
      </c>
      <c r="V33" s="774" t="s">
        <v>17</v>
      </c>
      <c r="W33" s="775">
        <f t="shared" si="14"/>
        <v>100</v>
      </c>
      <c r="X33" s="1816"/>
      <c r="Y33" s="320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8"/>
      <c r="Q36" s="1813">
        <f t="shared" si="11"/>
        <v>111</v>
      </c>
      <c r="R36" s="774" t="s">
        <v>17</v>
      </c>
      <c r="S36" s="775">
        <f t="shared" si="12"/>
        <v>100</v>
      </c>
      <c r="T36" s="774" t="s">
        <v>17</v>
      </c>
      <c r="U36" s="775">
        <f t="shared" si="13"/>
        <v>100</v>
      </c>
      <c r="V36" s="774" t="s">
        <v>17</v>
      </c>
      <c r="W36" s="775">
        <f t="shared" si="14"/>
        <v>100</v>
      </c>
      <c r="X36" s="1816"/>
      <c r="Y36" s="3208"/>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196" t="str">
        <f>A37</f>
        <v>成交单价</v>
      </c>
      <c r="Q37" s="3196"/>
      <c r="R37" s="3197">
        <f>E37</f>
        <v>0</v>
      </c>
      <c r="S37" s="3197"/>
      <c r="T37" s="3197">
        <f>G37</f>
        <v>0</v>
      </c>
      <c r="U37" s="3197"/>
      <c r="V37" s="3197">
        <f>I37</f>
        <v>0</v>
      </c>
      <c r="W37" s="3197"/>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35" t="s">
        <v>2547</v>
      </c>
      <c r="Q7" s="3237"/>
      <c r="R7" s="770" t="s">
        <v>17</v>
      </c>
      <c r="S7" s="771">
        <f t="shared" ref="S7:S14" si="0">F7</f>
        <v>0</v>
      </c>
      <c r="T7" s="770" t="s">
        <v>17</v>
      </c>
      <c r="U7" s="771">
        <f t="shared" ref="U7:U14" si="1">H7</f>
        <v>0</v>
      </c>
      <c r="V7" s="770" t="s">
        <v>17</v>
      </c>
      <c r="W7" s="771">
        <f t="shared" ref="W7:W14" si="2">J7</f>
        <v>0</v>
      </c>
      <c r="X7" s="772"/>
      <c r="Y7" s="3235" t="s">
        <v>2547</v>
      </c>
      <c r="Z7" s="323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6" t="s">
        <v>2553</v>
      </c>
      <c r="Q9" s="1798" t="str">
        <f t="shared" ref="Q9:Q14" si="6">B9</f>
        <v>用途</v>
      </c>
      <c r="R9" s="770" t="s">
        <v>17</v>
      </c>
      <c r="S9" s="771">
        <f t="shared" si="0"/>
        <v>100</v>
      </c>
      <c r="T9" s="770" t="s">
        <v>17</v>
      </c>
      <c r="U9" s="771">
        <f t="shared" si="1"/>
        <v>100</v>
      </c>
      <c r="V9" s="770" t="s">
        <v>17</v>
      </c>
      <c r="W9" s="771">
        <f t="shared" si="2"/>
        <v>100</v>
      </c>
      <c r="X9" s="772"/>
      <c r="Y9" s="3046"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6"/>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6"/>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2558</v>
      </c>
      <c r="Q14" s="1813" t="str">
        <f t="shared" si="6"/>
        <v>交通便捷度</v>
      </c>
      <c r="R14" s="774" t="s">
        <v>17</v>
      </c>
      <c r="S14" s="775">
        <f t="shared" si="0"/>
        <v>100</v>
      </c>
      <c r="T14" s="774" t="s">
        <v>17</v>
      </c>
      <c r="U14" s="775">
        <f t="shared" si="1"/>
        <v>100</v>
      </c>
      <c r="V14" s="774" t="s">
        <v>17</v>
      </c>
      <c r="W14" s="775">
        <f t="shared" si="2"/>
        <v>100</v>
      </c>
      <c r="X14" s="1816"/>
      <c r="Y14" s="3203"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4"/>
      <c r="Q15" s="1813"/>
      <c r="R15" s="774"/>
      <c r="S15" s="775"/>
      <c r="T15" s="774"/>
      <c r="U15" s="775"/>
      <c r="V15" s="774"/>
      <c r="W15" s="775"/>
      <c r="X15" s="1816"/>
      <c r="Y15" s="3204"/>
      <c r="Z15" s="1817"/>
      <c r="AA15" s="1814">
        <v>1</v>
      </c>
      <c r="AB15" s="1814">
        <v>1</v>
      </c>
      <c r="AC15" s="1814">
        <v>1</v>
      </c>
    </row>
    <row r="16" spans="1:29" ht="42.75">
      <c r="A16" s="428"/>
      <c r="B16" s="451" t="s">
        <v>2686</v>
      </c>
      <c r="C16" s="2610"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4"/>
      <c r="Q17" s="1813"/>
      <c r="R17" s="774"/>
      <c r="S17" s="775"/>
      <c r="T17" s="774"/>
      <c r="U17" s="775"/>
      <c r="V17" s="774"/>
      <c r="W17" s="775"/>
      <c r="X17" s="1816"/>
      <c r="Y17" s="3204"/>
      <c r="Z17" s="1817"/>
      <c r="AA17" s="1814">
        <v>1</v>
      </c>
      <c r="AB17" s="1814">
        <v>1</v>
      </c>
      <c r="AC17" s="1814">
        <v>1</v>
      </c>
    </row>
    <row r="18" spans="1:29" ht="28.5">
      <c r="A18" s="428"/>
      <c r="B18" s="1387" t="s">
        <v>2687</v>
      </c>
      <c r="C18" s="2610" t="str">
        <f>IF(B1="工业",估价对象房地状况!G6,估价对象房地状况!C8)</f>
        <v>估价对象所在区域基础设施七通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4"/>
      <c r="Q19" s="1813"/>
      <c r="R19" s="774"/>
      <c r="S19" s="775"/>
      <c r="T19" s="774"/>
      <c r="U19" s="775"/>
      <c r="V19" s="774"/>
      <c r="W19" s="775"/>
      <c r="X19" s="1816"/>
      <c r="Y19" s="3204"/>
      <c r="Z19" s="1817"/>
      <c r="AA19" s="1814">
        <v>1</v>
      </c>
      <c r="AB19" s="1814">
        <v>1</v>
      </c>
      <c r="AC19" s="1814">
        <v>1</v>
      </c>
    </row>
    <row r="20" spans="1:29" ht="57">
      <c r="A20" s="428"/>
      <c r="B20" s="451" t="s">
        <v>2708</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4"/>
      <c r="Q21" s="1813"/>
      <c r="R21" s="774"/>
      <c r="S21" s="775"/>
      <c r="T21" s="774"/>
      <c r="U21" s="775"/>
      <c r="V21" s="774"/>
      <c r="W21" s="775"/>
      <c r="X21" s="1816"/>
      <c r="Y21" s="3204"/>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3">
        <f t="shared" ref="Q24:Q34"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81"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8"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8"/>
      <c r="Q28" s="1813" t="str">
        <f t="shared" si="11"/>
        <v>物业等级</v>
      </c>
      <c r="R28" s="774" t="s">
        <v>17</v>
      </c>
      <c r="S28" s="775">
        <f t="shared" si="12"/>
        <v>100</v>
      </c>
      <c r="T28" s="774" t="s">
        <v>17</v>
      </c>
      <c r="U28" s="775">
        <f t="shared" si="13"/>
        <v>100</v>
      </c>
      <c r="V28" s="774" t="s">
        <v>17</v>
      </c>
      <c r="W28" s="775">
        <f t="shared" si="14"/>
        <v>100</v>
      </c>
      <c r="X28" s="1816"/>
      <c r="Y28" s="3208"/>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8"/>
      <c r="Q29" s="1813" t="str">
        <f t="shared" si="11"/>
        <v>有无电梯</v>
      </c>
      <c r="R29" s="774" t="s">
        <v>17</v>
      </c>
      <c r="S29" s="775">
        <f t="shared" si="12"/>
        <v>100</v>
      </c>
      <c r="T29" s="774" t="s">
        <v>17</v>
      </c>
      <c r="U29" s="775">
        <f t="shared" si="13"/>
        <v>100</v>
      </c>
      <c r="V29" s="774" t="s">
        <v>17</v>
      </c>
      <c r="W29" s="775">
        <f t="shared" si="14"/>
        <v>100</v>
      </c>
      <c r="X29" s="1816"/>
      <c r="Y29" s="3208"/>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8"/>
      <c r="Q30" s="1813" t="str">
        <f t="shared" si="11"/>
        <v>建筑面积</v>
      </c>
      <c r="R30" s="774" t="s">
        <v>17</v>
      </c>
      <c r="S30" s="775" t="e">
        <f t="shared" si="12"/>
        <v>#N/A</v>
      </c>
      <c r="T30" s="774" t="s">
        <v>17</v>
      </c>
      <c r="U30" s="775" t="e">
        <f t="shared" si="13"/>
        <v>#N/A</v>
      </c>
      <c r="V30" s="774" t="s">
        <v>17</v>
      </c>
      <c r="W30" s="775" t="e">
        <f t="shared" si="14"/>
        <v>#N/A</v>
      </c>
      <c r="X30" s="1816"/>
      <c r="Y30" s="3208"/>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8"/>
      <c r="Q31" s="1798"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8" t="s">
        <v>2563</v>
      </c>
      <c r="Q32" s="1813">
        <f t="shared" si="11"/>
        <v>111</v>
      </c>
      <c r="R32" s="774" t="s">
        <v>17</v>
      </c>
      <c r="S32" s="775">
        <f t="shared" si="12"/>
        <v>100</v>
      </c>
      <c r="T32" s="774" t="s">
        <v>17</v>
      </c>
      <c r="U32" s="775">
        <f t="shared" si="13"/>
        <v>100</v>
      </c>
      <c r="V32" s="774" t="s">
        <v>17</v>
      </c>
      <c r="W32" s="775">
        <f t="shared" si="14"/>
        <v>100</v>
      </c>
      <c r="X32" s="1816"/>
      <c r="Y32" s="3208"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8"/>
      <c r="Q33" s="1813">
        <f t="shared" si="11"/>
        <v>111</v>
      </c>
      <c r="R33" s="774" t="s">
        <v>17</v>
      </c>
      <c r="S33" s="775">
        <f t="shared" si="12"/>
        <v>100</v>
      </c>
      <c r="T33" s="774" t="s">
        <v>17</v>
      </c>
      <c r="U33" s="775">
        <f t="shared" si="13"/>
        <v>100</v>
      </c>
      <c r="V33" s="774" t="s">
        <v>17</v>
      </c>
      <c r="W33" s="775">
        <f t="shared" si="14"/>
        <v>100</v>
      </c>
      <c r="X33" s="1816"/>
      <c r="Y33" s="3208"/>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96" t="str">
        <f>A35</f>
        <v>成交单价（元/平方米）</v>
      </c>
      <c r="Q35" s="3196"/>
      <c r="R35" s="3197">
        <f>E35</f>
        <v>0</v>
      </c>
      <c r="S35" s="3197"/>
      <c r="T35" s="3197">
        <f>G35</f>
        <v>0</v>
      </c>
      <c r="U35" s="3197"/>
      <c r="V35" s="3197">
        <f>I35</f>
        <v>0</v>
      </c>
      <c r="W35" s="3197"/>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30"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30"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30" s="117" customFormat="1" ht="15.75" thickBot="1">
      <c r="A7" s="408" t="s">
        <v>2546</v>
      </c>
      <c r="B7" s="409"/>
      <c r="C7" s="410">
        <f>'数据-取费表'!B2</f>
        <v>43214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6"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96"/>
      <c r="Q10" s="1798" t="str">
        <f t="shared" si="6"/>
        <v>土地使用年限（年）</v>
      </c>
      <c r="R10" s="770" t="s">
        <v>17</v>
      </c>
      <c r="S10" s="771">
        <f t="shared" si="0"/>
        <v>108</v>
      </c>
      <c r="T10" s="770" t="s">
        <v>17</v>
      </c>
      <c r="U10" s="771">
        <f t="shared" si="1"/>
        <v>108</v>
      </c>
      <c r="V10" s="770" t="s">
        <v>17</v>
      </c>
      <c r="W10" s="771">
        <f t="shared" si="2"/>
        <v>108</v>
      </c>
      <c r="X10" s="772"/>
      <c r="Y10" s="3046"/>
      <c r="Z10" s="55" t="str">
        <f t="shared" si="7"/>
        <v>土地使用年限（年）</v>
      </c>
      <c r="AA10" s="773">
        <f t="shared" si="3"/>
        <v>0.92592592592592593</v>
      </c>
      <c r="AB10" s="773">
        <f t="shared" si="4"/>
        <v>0.92592592592592593</v>
      </c>
      <c r="AC10" s="773">
        <f t="shared" si="5"/>
        <v>0.92592592592592593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6"/>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6"/>
      <c r="Q12" s="1798"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6"/>
      <c r="Q14" s="1798">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3" t="s">
        <v>2558</v>
      </c>
      <c r="Q15" s="1813" t="str">
        <f t="shared" si="6"/>
        <v>居住社区成熟度</v>
      </c>
      <c r="R15" s="774" t="s">
        <v>17</v>
      </c>
      <c r="S15" s="775">
        <f t="shared" si="0"/>
        <v>100</v>
      </c>
      <c r="T15" s="774" t="s">
        <v>17</v>
      </c>
      <c r="U15" s="775">
        <f t="shared" si="1"/>
        <v>100</v>
      </c>
      <c r="V15" s="774" t="s">
        <v>17</v>
      </c>
      <c r="W15" s="775">
        <f t="shared" si="2"/>
        <v>100</v>
      </c>
      <c r="X15" s="1816"/>
      <c r="Y15" s="3203"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57">
      <c r="A17" s="428"/>
      <c r="B17" s="451" t="s">
        <v>2651</v>
      </c>
      <c r="C17" s="2667" t="str">
        <f>估价对象房地状况!C16</f>
        <v>估价对象周边商业氛围一般，人流量较大，商业繁华度一般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4"/>
      <c r="Q17" s="1813" t="str">
        <f>B17</f>
        <v>商业繁华度</v>
      </c>
      <c r="R17" s="774" t="s">
        <v>17</v>
      </c>
      <c r="S17" s="775">
        <f>F17</f>
        <v>100</v>
      </c>
      <c r="T17" s="774" t="s">
        <v>17</v>
      </c>
      <c r="U17" s="775">
        <f>H17</f>
        <v>100</v>
      </c>
      <c r="V17" s="774" t="s">
        <v>17</v>
      </c>
      <c r="W17" s="775">
        <f>J17</f>
        <v>100</v>
      </c>
      <c r="X17" s="1816"/>
      <c r="Y17" s="3204"/>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71.25">
      <c r="A19" s="428"/>
      <c r="B19" s="451" t="s">
        <v>2685</v>
      </c>
      <c r="C19" s="2667" t="str">
        <f>估价对象房地状况!C17</f>
        <v>估价对象周边办公楼项目数量一般，入驻率较高，办公集聚程度一般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4"/>
      <c r="Q19" s="1813" t="str">
        <f>B19</f>
        <v>办公集聚程度</v>
      </c>
      <c r="R19" s="774" t="s">
        <v>17</v>
      </c>
      <c r="S19" s="775">
        <f>F19</f>
        <v>100</v>
      </c>
      <c r="T19" s="774" t="s">
        <v>17</v>
      </c>
      <c r="U19" s="775">
        <f>H19</f>
        <v>100</v>
      </c>
      <c r="V19" s="774" t="s">
        <v>17</v>
      </c>
      <c r="W19" s="775">
        <f>J19</f>
        <v>100</v>
      </c>
      <c r="X19" s="1816"/>
      <c r="Y19" s="3204"/>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4"/>
      <c r="Q20" s="1813"/>
      <c r="R20" s="774"/>
      <c r="S20" s="775"/>
      <c r="T20" s="774"/>
      <c r="U20" s="775"/>
      <c r="V20" s="774"/>
      <c r="W20" s="775"/>
      <c r="X20" s="1816"/>
      <c r="Y20" s="3204"/>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4"/>
      <c r="Q21" s="1813" t="str">
        <f>B21</f>
        <v>交通便捷度</v>
      </c>
      <c r="R21" s="774" t="s">
        <v>17</v>
      </c>
      <c r="S21" s="775">
        <f>F21</f>
        <v>100</v>
      </c>
      <c r="T21" s="774" t="s">
        <v>17</v>
      </c>
      <c r="U21" s="775">
        <f>H21</f>
        <v>100</v>
      </c>
      <c r="V21" s="774" t="s">
        <v>17</v>
      </c>
      <c r="W21" s="775">
        <f>J21</f>
        <v>100</v>
      </c>
      <c r="X21" s="1816"/>
      <c r="Y21" s="3204"/>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4"/>
      <c r="Q23" s="1813" t="str">
        <f t="shared" ref="Q23:Q37" si="8">B23</f>
        <v>区域土地利用方向</v>
      </c>
      <c r="R23" s="774" t="s">
        <v>17</v>
      </c>
      <c r="S23" s="775">
        <f>F23</f>
        <v>100</v>
      </c>
      <c r="T23" s="774" t="s">
        <v>17</v>
      </c>
      <c r="U23" s="775">
        <f>H23</f>
        <v>100</v>
      </c>
      <c r="V23" s="774" t="s">
        <v>17</v>
      </c>
      <c r="W23" s="775">
        <f>J23</f>
        <v>100</v>
      </c>
      <c r="X23" s="1816"/>
      <c r="Y23" s="3204"/>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4"/>
      <c r="Q24" s="1813"/>
      <c r="R24" s="774"/>
      <c r="S24" s="775"/>
      <c r="T24" s="774"/>
      <c r="U24" s="775"/>
      <c r="V24" s="774"/>
      <c r="W24" s="775"/>
      <c r="X24" s="1816"/>
      <c r="Y24" s="3204"/>
      <c r="Z24" s="1817"/>
      <c r="AA24" s="1814"/>
      <c r="AB24" s="1814"/>
      <c r="AC24" s="1814"/>
    </row>
    <row r="25" spans="1:29" ht="57">
      <c r="A25" s="404"/>
      <c r="B25" s="1387" t="s">
        <v>2747</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4"/>
      <c r="Q25" s="1813" t="str">
        <f t="shared" si="8"/>
        <v>自然及人文环境状况</v>
      </c>
      <c r="R25" s="774" t="s">
        <v>17</v>
      </c>
      <c r="S25" s="775">
        <f>F25</f>
        <v>100</v>
      </c>
      <c r="T25" s="774" t="s">
        <v>17</v>
      </c>
      <c r="U25" s="775">
        <f>H25</f>
        <v>100</v>
      </c>
      <c r="V25" s="774" t="s">
        <v>17</v>
      </c>
      <c r="W25" s="775">
        <f>J25</f>
        <v>100</v>
      </c>
      <c r="X25" s="1816"/>
      <c r="Y25" s="3204"/>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4"/>
      <c r="Q26" s="1813"/>
      <c r="R26" s="774"/>
      <c r="S26" s="775"/>
      <c r="T26" s="774"/>
      <c r="U26" s="775"/>
      <c r="V26" s="774"/>
      <c r="W26" s="775"/>
      <c r="X26" s="1816"/>
      <c r="Y26" s="3204"/>
      <c r="Z26" s="1817"/>
      <c r="AA26" s="1814">
        <v>1</v>
      </c>
      <c r="AB26" s="1814">
        <v>1</v>
      </c>
      <c r="AC26" s="1814">
        <v>1</v>
      </c>
    </row>
    <row r="27" spans="1:29" s="117" customFormat="1" ht="42.75">
      <c r="A27" s="649"/>
      <c r="B27" s="1387" t="s">
        <v>2652</v>
      </c>
      <c r="C27" s="2610"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4"/>
      <c r="Q27" s="1798" t="str">
        <f t="shared" si="8"/>
        <v>公共配套设施</v>
      </c>
      <c r="R27" s="770" t="s">
        <v>17</v>
      </c>
      <c r="S27" s="771">
        <f>F27</f>
        <v>100</v>
      </c>
      <c r="T27" s="770" t="s">
        <v>17</v>
      </c>
      <c r="U27" s="771">
        <f>H27</f>
        <v>100</v>
      </c>
      <c r="V27" s="770" t="s">
        <v>17</v>
      </c>
      <c r="W27" s="771">
        <f>J27</f>
        <v>100</v>
      </c>
      <c r="X27" s="772"/>
      <c r="Y27" s="3204"/>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4"/>
      <c r="Q28" s="1798"/>
      <c r="R28" s="770"/>
      <c r="S28" s="771"/>
      <c r="T28" s="770"/>
      <c r="U28" s="771"/>
      <c r="V28" s="770"/>
      <c r="W28" s="771"/>
      <c r="X28" s="772"/>
      <c r="Y28" s="3204"/>
      <c r="Z28" s="55"/>
      <c r="AA28" s="1814">
        <v>1</v>
      </c>
      <c r="AB28" s="1814">
        <v>1</v>
      </c>
      <c r="AC28" s="1814">
        <v>1</v>
      </c>
    </row>
    <row r="29" spans="1:29" s="117" customFormat="1" ht="28.5">
      <c r="A29" s="649"/>
      <c r="B29" s="1387" t="s">
        <v>2653</v>
      </c>
      <c r="C29" s="2610" t="str">
        <f>估价对象房地状况!C22</f>
        <v>估价对象所在区域基础设施七通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4"/>
      <c r="Q29" s="1798"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4"/>
      <c r="Q30" s="1798"/>
      <c r="R30" s="770"/>
      <c r="S30" s="771"/>
      <c r="T30" s="770"/>
      <c r="U30" s="771"/>
      <c r="V30" s="770"/>
      <c r="W30" s="771"/>
      <c r="X30" s="772"/>
      <c r="Y30" s="3204"/>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4"/>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3" t="str">
        <f t="shared" si="8"/>
        <v>毗邻道路的类型与等级</v>
      </c>
      <c r="R32" s="774" t="s">
        <v>17</v>
      </c>
      <c r="S32" s="775">
        <f t="shared" si="10"/>
        <v>100</v>
      </c>
      <c r="T32" s="774" t="s">
        <v>17</v>
      </c>
      <c r="U32" s="775">
        <f t="shared" si="11"/>
        <v>100</v>
      </c>
      <c r="V32" s="774" t="s">
        <v>17</v>
      </c>
      <c r="W32" s="775">
        <f t="shared" si="12"/>
        <v>100</v>
      </c>
      <c r="X32" s="1816"/>
      <c r="Y32" s="3204"/>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4"/>
      <c r="Q33" s="1813"/>
      <c r="R33" s="774"/>
      <c r="S33" s="775"/>
      <c r="T33" s="774"/>
      <c r="U33" s="775"/>
      <c r="V33" s="774"/>
      <c r="W33" s="775"/>
      <c r="X33" s="1816"/>
      <c r="Y33" s="3204"/>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3" t="str">
        <f t="shared" si="8"/>
        <v>土地级别</v>
      </c>
      <c r="R34" s="774" t="s">
        <v>17</v>
      </c>
      <c r="S34" s="775">
        <f t="shared" si="10"/>
        <v>100</v>
      </c>
      <c r="T34" s="774" t="s">
        <v>17</v>
      </c>
      <c r="U34" s="775">
        <f t="shared" si="11"/>
        <v>100</v>
      </c>
      <c r="V34" s="774" t="s">
        <v>17</v>
      </c>
      <c r="W34" s="775">
        <f t="shared" si="12"/>
        <v>100</v>
      </c>
      <c r="X34" s="1816"/>
      <c r="Y34" s="320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3">
        <f t="shared" si="8"/>
        <v>111</v>
      </c>
      <c r="R35" s="774" t="s">
        <v>17</v>
      </c>
      <c r="S35" s="775">
        <f t="shared" si="10"/>
        <v>100</v>
      </c>
      <c r="T35" s="774" t="s">
        <v>17</v>
      </c>
      <c r="U35" s="775">
        <f t="shared" si="11"/>
        <v>100</v>
      </c>
      <c r="V35" s="774" t="s">
        <v>17</v>
      </c>
      <c r="W35" s="775">
        <f t="shared" si="12"/>
        <v>100</v>
      </c>
      <c r="X35" s="1816"/>
      <c r="Y35" s="320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1" t="s">
        <v>2563</v>
      </c>
      <c r="Q36" s="1813">
        <f t="shared" si="8"/>
        <v>111</v>
      </c>
      <c r="R36" s="774" t="s">
        <v>17</v>
      </c>
      <c r="S36" s="775">
        <f t="shared" si="10"/>
        <v>100</v>
      </c>
      <c r="T36" s="774" t="s">
        <v>17</v>
      </c>
      <c r="U36" s="775">
        <f t="shared" si="11"/>
        <v>100</v>
      </c>
      <c r="V36" s="774" t="s">
        <v>17</v>
      </c>
      <c r="W36" s="775">
        <f t="shared" si="12"/>
        <v>100</v>
      </c>
      <c r="X36" s="1816"/>
      <c r="Y36" s="3208"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8"/>
      <c r="Q37" s="1813">
        <f t="shared" si="8"/>
        <v>111</v>
      </c>
      <c r="R37" s="777" t="s">
        <v>17</v>
      </c>
      <c r="S37" s="778">
        <f t="shared" si="10"/>
        <v>100</v>
      </c>
      <c r="T37" s="777" t="s">
        <v>17</v>
      </c>
      <c r="U37" s="778">
        <f t="shared" si="11"/>
        <v>100</v>
      </c>
      <c r="V37" s="777" t="s">
        <v>17</v>
      </c>
      <c r="W37" s="778">
        <f t="shared" si="12"/>
        <v>100</v>
      </c>
      <c r="X37" s="779"/>
      <c r="Y37" s="3208"/>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8"/>
      <c r="Q38" s="1813" t="str">
        <f>B38</f>
        <v>宗地面积</v>
      </c>
      <c r="R38" s="774" t="s">
        <v>17</v>
      </c>
      <c r="S38" s="775" t="e">
        <f t="shared" si="10"/>
        <v>#N/A</v>
      </c>
      <c r="T38" s="774" t="s">
        <v>17</v>
      </c>
      <c r="U38" s="775" t="e">
        <f t="shared" si="11"/>
        <v>#N/A</v>
      </c>
      <c r="V38" s="774" t="s">
        <v>17</v>
      </c>
      <c r="W38" s="775" t="e">
        <f t="shared" si="12"/>
        <v>#N/A</v>
      </c>
      <c r="X38" s="1816"/>
      <c r="Y38" s="3208"/>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08"/>
      <c r="Q39" s="1813" t="str">
        <f t="shared" ref="Q39:Q45" si="14">B39</f>
        <v>宗地形状</v>
      </c>
      <c r="R39" s="774" t="s">
        <v>17</v>
      </c>
      <c r="S39" s="775">
        <f t="shared" si="10"/>
        <v>100</v>
      </c>
      <c r="T39" s="774" t="s">
        <v>17</v>
      </c>
      <c r="U39" s="775">
        <f t="shared" si="11"/>
        <v>100</v>
      </c>
      <c r="V39" s="774" t="s">
        <v>17</v>
      </c>
      <c r="W39" s="775">
        <f t="shared" si="12"/>
        <v>100</v>
      </c>
      <c r="X39" s="1816"/>
      <c r="Y39" s="3208"/>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08"/>
      <c r="Q40" s="1813" t="str">
        <f t="shared" si="14"/>
        <v>临街宽度及深度</v>
      </c>
      <c r="R40" s="774" t="s">
        <v>17</v>
      </c>
      <c r="S40" s="775">
        <f t="shared" si="10"/>
        <v>100</v>
      </c>
      <c r="T40" s="774" t="s">
        <v>17</v>
      </c>
      <c r="U40" s="775">
        <f t="shared" si="11"/>
        <v>100</v>
      </c>
      <c r="V40" s="774" t="s">
        <v>17</v>
      </c>
      <c r="W40" s="775">
        <f t="shared" si="12"/>
        <v>100</v>
      </c>
      <c r="X40" s="1816"/>
      <c r="Y40" s="3208"/>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08"/>
      <c r="Q41" s="1813"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08" t="s">
        <v>2563</v>
      </c>
      <c r="Q42" s="1813" t="str">
        <f t="shared" si="14"/>
        <v>工程地质条件</v>
      </c>
      <c r="R42" s="774" t="s">
        <v>17</v>
      </c>
      <c r="S42" s="775">
        <f t="shared" si="10"/>
        <v>100</v>
      </c>
      <c r="T42" s="774" t="s">
        <v>17</v>
      </c>
      <c r="U42" s="775">
        <f t="shared" si="11"/>
        <v>100</v>
      </c>
      <c r="V42" s="774" t="s">
        <v>17</v>
      </c>
      <c r="W42" s="775">
        <f t="shared" si="12"/>
        <v>100</v>
      </c>
      <c r="X42" s="1816"/>
      <c r="Y42" s="3208"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8"/>
      <c r="Q43" s="1813">
        <f t="shared" si="14"/>
        <v>111</v>
      </c>
      <c r="R43" s="774" t="s">
        <v>17</v>
      </c>
      <c r="S43" s="775">
        <f t="shared" si="10"/>
        <v>100</v>
      </c>
      <c r="T43" s="774" t="s">
        <v>17</v>
      </c>
      <c r="U43" s="775">
        <f t="shared" si="11"/>
        <v>100</v>
      </c>
      <c r="V43" s="774" t="s">
        <v>17</v>
      </c>
      <c r="W43" s="775">
        <f t="shared" si="12"/>
        <v>100</v>
      </c>
      <c r="X43" s="1816"/>
      <c r="Y43" s="320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8"/>
      <c r="Q44" s="1813">
        <f t="shared" si="14"/>
        <v>111</v>
      </c>
      <c r="R44" s="774" t="s">
        <v>17</v>
      </c>
      <c r="S44" s="775">
        <f t="shared" si="10"/>
        <v>100</v>
      </c>
      <c r="T44" s="774" t="s">
        <v>17</v>
      </c>
      <c r="U44" s="775">
        <f t="shared" si="11"/>
        <v>100</v>
      </c>
      <c r="V44" s="774" t="s">
        <v>17</v>
      </c>
      <c r="W44" s="775">
        <f t="shared" si="12"/>
        <v>100</v>
      </c>
      <c r="X44" s="1816"/>
      <c r="Y44" s="3208"/>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8"/>
      <c r="Q45" s="1813">
        <f t="shared" si="14"/>
        <v>111</v>
      </c>
      <c r="R45" s="777" t="s">
        <v>17</v>
      </c>
      <c r="S45" s="778">
        <f t="shared" si="10"/>
        <v>100</v>
      </c>
      <c r="T45" s="777" t="s">
        <v>17</v>
      </c>
      <c r="U45" s="778">
        <f t="shared" si="11"/>
        <v>100</v>
      </c>
      <c r="V45" s="777" t="s">
        <v>17</v>
      </c>
      <c r="W45" s="778">
        <f t="shared" si="12"/>
        <v>100</v>
      </c>
      <c r="X45" s="779"/>
      <c r="Y45" s="3208"/>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196" t="str">
        <f>A46</f>
        <v>成交单价</v>
      </c>
      <c r="Q46" s="3196"/>
      <c r="R46" s="3210">
        <f>E46</f>
        <v>0</v>
      </c>
      <c r="S46" s="3210"/>
      <c r="T46" s="3210">
        <f>G46</f>
        <v>0</v>
      </c>
      <c r="U46" s="3210"/>
      <c r="V46" s="3210">
        <f>I46</f>
        <v>0</v>
      </c>
      <c r="W46" s="321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96" t="str">
        <f>A47</f>
        <v>比较价值（元/平方米）</v>
      </c>
      <c r="Q47" s="3196"/>
      <c r="R47" s="3282" t="e">
        <f>ROUND(PRODUCT(R46,AA7:AA45),0)</f>
        <v>#DIV/0!</v>
      </c>
      <c r="S47" s="3282"/>
      <c r="T47" s="3282" t="e">
        <f>ROUND(PRODUCT(T46,AB7:AB45),0)</f>
        <v>#DIV/0!</v>
      </c>
      <c r="U47" s="3282"/>
      <c r="V47" s="3282" t="e">
        <f>ROUND(PRODUCT(V46,AC7:AC45),0)</f>
        <v>#DIV/0!</v>
      </c>
      <c r="W47" s="328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198" t="str">
        <f>A48</f>
        <v>估价对象XX用房的比较价值（楼面单价，元/平方米）</v>
      </c>
      <c r="Q48" s="3199"/>
      <c r="R48" s="3283" t="e">
        <f>ROUND(AVERAGE(R47:V47),0)</f>
        <v>#DIV/0!</v>
      </c>
      <c r="S48" s="3283"/>
      <c r="T48" s="3283"/>
      <c r="U48" s="3283"/>
      <c r="V48" s="3283"/>
      <c r="W48" s="328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15" t="s">
        <v>2762</v>
      </c>
      <c r="H55" s="3284"/>
      <c r="I55" s="144" t="s">
        <v>2763</v>
      </c>
      <c r="J55" s="2710" t="str">
        <f>项目基本情况!F35</f>
        <v>新疆省</v>
      </c>
      <c r="K55" s="2711" t="s">
        <v>2764</v>
      </c>
      <c r="L55" s="1109"/>
      <c r="M55" s="1147"/>
      <c r="N55" s="1147"/>
      <c r="O55" s="1147"/>
    </row>
    <row r="56" spans="1:15" s="692" customFormat="1">
      <c r="A56" s="688" t="s">
        <v>2765</v>
      </c>
      <c r="B56" s="689" t="e">
        <f>C48</f>
        <v>#DIV/0!</v>
      </c>
      <c r="C56" s="690">
        <v>1</v>
      </c>
      <c r="D56" s="1166">
        <v>1</v>
      </c>
      <c r="E56" s="690">
        <f>'数据-汇总表'!E8+'数据-汇总表'!E9</f>
        <v>2644.5600000000004</v>
      </c>
      <c r="F56" s="1106" t="e">
        <f t="shared" ref="F56:F65" si="15">ROUND(B56*E56/10000,0)</f>
        <v>#DIV/0!</v>
      </c>
      <c r="G56" s="3211"/>
      <c r="H56" s="3196"/>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85"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85"/>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85"/>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85"/>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2644.5600000000004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86" t="s">
        <v>2795</v>
      </c>
      <c r="D6" s="3287"/>
      <c r="E6" s="3288" t="s">
        <v>2795</v>
      </c>
      <c r="F6" s="3289"/>
      <c r="G6" s="3286" t="s">
        <v>2795</v>
      </c>
      <c r="H6" s="3287"/>
      <c r="I6" s="3286" t="s">
        <v>2795</v>
      </c>
      <c r="J6" s="3287"/>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6"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96"/>
      <c r="Q10" s="1798" t="str">
        <f t="shared" si="6"/>
        <v>土地使用年限（年）</v>
      </c>
      <c r="R10" s="770" t="s">
        <v>17</v>
      </c>
      <c r="S10" s="771">
        <f t="shared" si="0"/>
        <v>108</v>
      </c>
      <c r="T10" s="770" t="s">
        <v>17</v>
      </c>
      <c r="U10" s="771">
        <f t="shared" si="1"/>
        <v>108</v>
      </c>
      <c r="V10" s="770" t="s">
        <v>17</v>
      </c>
      <c r="W10" s="771">
        <f t="shared" si="2"/>
        <v>108</v>
      </c>
      <c r="X10" s="772"/>
      <c r="Y10" s="3046"/>
      <c r="Z10" s="55" t="str">
        <f t="shared" si="7"/>
        <v>土地使用年限（年）</v>
      </c>
      <c r="AA10" s="773">
        <f t="shared" si="3"/>
        <v>0.92592592592592593</v>
      </c>
      <c r="AB10" s="773">
        <f t="shared" si="4"/>
        <v>0.92592592592592593</v>
      </c>
      <c r="AC10" s="773">
        <f t="shared" si="5"/>
        <v>0.92592592592592593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6"/>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6"/>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2558</v>
      </c>
      <c r="Q15" s="1813" t="str">
        <f t="shared" si="6"/>
        <v>产业集聚程度</v>
      </c>
      <c r="R15" s="774" t="s">
        <v>17</v>
      </c>
      <c r="S15" s="775">
        <f t="shared" si="0"/>
        <v>100</v>
      </c>
      <c r="T15" s="774" t="s">
        <v>17</v>
      </c>
      <c r="U15" s="775">
        <f t="shared" si="1"/>
        <v>100</v>
      </c>
      <c r="V15" s="774" t="s">
        <v>17</v>
      </c>
      <c r="W15" s="775">
        <f t="shared" si="2"/>
        <v>100</v>
      </c>
      <c r="X15" s="1816"/>
      <c r="Y15" s="3203"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3" t="str">
        <f t="shared" ref="Q19:Q33" si="8">B19</f>
        <v>区域土地利用方向</v>
      </c>
      <c r="R19" s="774" t="s">
        <v>17</v>
      </c>
      <c r="S19" s="775">
        <f>F19</f>
        <v>100</v>
      </c>
      <c r="T19" s="774" t="s">
        <v>17</v>
      </c>
      <c r="U19" s="775">
        <f>H19</f>
        <v>100</v>
      </c>
      <c r="V19" s="774" t="s">
        <v>17</v>
      </c>
      <c r="W19" s="775">
        <f>J19</f>
        <v>100</v>
      </c>
      <c r="X19" s="1816"/>
      <c r="Y19" s="3204"/>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4"/>
      <c r="Q20" s="1813"/>
      <c r="R20" s="774"/>
      <c r="S20" s="775"/>
      <c r="T20" s="774"/>
      <c r="U20" s="775"/>
      <c r="V20" s="774"/>
      <c r="W20" s="775"/>
      <c r="X20" s="1816"/>
      <c r="Y20" s="3204"/>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3" t="str">
        <f t="shared" si="8"/>
        <v>环境状况</v>
      </c>
      <c r="R21" s="774" t="s">
        <v>17</v>
      </c>
      <c r="S21" s="775">
        <f>F21</f>
        <v>100</v>
      </c>
      <c r="T21" s="774" t="s">
        <v>17</v>
      </c>
      <c r="U21" s="775">
        <f>H21</f>
        <v>100</v>
      </c>
      <c r="V21" s="774" t="s">
        <v>17</v>
      </c>
      <c r="W21" s="775">
        <f>J21</f>
        <v>100</v>
      </c>
      <c r="X21" s="1816"/>
      <c r="Y21" s="3204"/>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8" t="str">
        <f t="shared" si="8"/>
        <v>公共配套设施</v>
      </c>
      <c r="R23" s="770" t="s">
        <v>17</v>
      </c>
      <c r="S23" s="771">
        <f>F23</f>
        <v>100</v>
      </c>
      <c r="T23" s="770" t="s">
        <v>17</v>
      </c>
      <c r="U23" s="771">
        <f>H23</f>
        <v>100</v>
      </c>
      <c r="V23" s="770" t="s">
        <v>17</v>
      </c>
      <c r="W23" s="771">
        <f>J23</f>
        <v>100</v>
      </c>
      <c r="X23" s="772"/>
      <c r="Y23" s="3204"/>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4"/>
      <c r="Q24" s="1798"/>
      <c r="R24" s="770"/>
      <c r="S24" s="771"/>
      <c r="T24" s="770"/>
      <c r="U24" s="771"/>
      <c r="V24" s="770"/>
      <c r="W24" s="771"/>
      <c r="X24" s="772"/>
      <c r="Y24" s="3204"/>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8"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4"/>
      <c r="Q26" s="1798"/>
      <c r="R26" s="770"/>
      <c r="S26" s="771"/>
      <c r="T26" s="770"/>
      <c r="U26" s="771"/>
      <c r="V26" s="770"/>
      <c r="W26" s="771"/>
      <c r="X26" s="772"/>
      <c r="Y26" s="320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4"/>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3" t="str">
        <f t="shared" si="8"/>
        <v>毗邻道路的类型与等级</v>
      </c>
      <c r="R28" s="774" t="s">
        <v>17</v>
      </c>
      <c r="S28" s="775">
        <f t="shared" si="10"/>
        <v>100</v>
      </c>
      <c r="T28" s="774" t="s">
        <v>17</v>
      </c>
      <c r="U28" s="775">
        <f t="shared" si="11"/>
        <v>100</v>
      </c>
      <c r="V28" s="774" t="s">
        <v>17</v>
      </c>
      <c r="W28" s="775">
        <f t="shared" si="12"/>
        <v>100</v>
      </c>
      <c r="X28" s="1816"/>
      <c r="Y28" s="3204"/>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4"/>
      <c r="Q29" s="1813"/>
      <c r="R29" s="774"/>
      <c r="S29" s="775"/>
      <c r="T29" s="774"/>
      <c r="U29" s="775"/>
      <c r="V29" s="774"/>
      <c r="W29" s="775"/>
      <c r="X29" s="1816"/>
      <c r="Y29" s="3204"/>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3" t="str">
        <f t="shared" si="8"/>
        <v>土地级别</v>
      </c>
      <c r="R30" s="774" t="s">
        <v>17</v>
      </c>
      <c r="S30" s="775">
        <f t="shared" si="10"/>
        <v>100</v>
      </c>
      <c r="T30" s="774" t="s">
        <v>17</v>
      </c>
      <c r="U30" s="775">
        <f t="shared" si="11"/>
        <v>100</v>
      </c>
      <c r="V30" s="774" t="s">
        <v>17</v>
      </c>
      <c r="W30" s="775">
        <f t="shared" si="12"/>
        <v>100</v>
      </c>
      <c r="X30" s="1816"/>
      <c r="Y30" s="3204"/>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3">
        <f t="shared" si="8"/>
        <v>111</v>
      </c>
      <c r="R31" s="774" t="s">
        <v>17</v>
      </c>
      <c r="S31" s="775">
        <f t="shared" si="10"/>
        <v>100</v>
      </c>
      <c r="T31" s="774" t="s">
        <v>17</v>
      </c>
      <c r="U31" s="775">
        <f t="shared" si="11"/>
        <v>100</v>
      </c>
      <c r="V31" s="774" t="s">
        <v>17</v>
      </c>
      <c r="W31" s="775">
        <f t="shared" si="12"/>
        <v>100</v>
      </c>
      <c r="X31" s="1816"/>
      <c r="Y31" s="3204"/>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1" t="s">
        <v>2563</v>
      </c>
      <c r="Q32" s="1813">
        <f t="shared" si="8"/>
        <v>111</v>
      </c>
      <c r="R32" s="774" t="s">
        <v>17</v>
      </c>
      <c r="S32" s="775">
        <f t="shared" si="10"/>
        <v>100</v>
      </c>
      <c r="T32" s="774" t="s">
        <v>17</v>
      </c>
      <c r="U32" s="775">
        <f t="shared" si="11"/>
        <v>100</v>
      </c>
      <c r="V32" s="774" t="s">
        <v>17</v>
      </c>
      <c r="W32" s="775">
        <f t="shared" si="12"/>
        <v>100</v>
      </c>
      <c r="X32" s="1816"/>
      <c r="Y32" s="3208"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8"/>
      <c r="Q33" s="1813">
        <f t="shared" si="8"/>
        <v>111</v>
      </c>
      <c r="R33" s="777" t="s">
        <v>17</v>
      </c>
      <c r="S33" s="778">
        <f t="shared" si="10"/>
        <v>100</v>
      </c>
      <c r="T33" s="777" t="s">
        <v>17</v>
      </c>
      <c r="U33" s="778">
        <f t="shared" si="11"/>
        <v>100</v>
      </c>
      <c r="V33" s="777" t="s">
        <v>17</v>
      </c>
      <c r="W33" s="778">
        <f t="shared" si="12"/>
        <v>100</v>
      </c>
      <c r="X33" s="779"/>
      <c r="Y33" s="3208"/>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8"/>
      <c r="Q34" s="1813" t="str">
        <f>B34</f>
        <v>宗地面积</v>
      </c>
      <c r="R34" s="774" t="s">
        <v>17</v>
      </c>
      <c r="S34" s="775" t="e">
        <f t="shared" si="10"/>
        <v>#N/A</v>
      </c>
      <c r="T34" s="774" t="s">
        <v>17</v>
      </c>
      <c r="U34" s="775" t="e">
        <f t="shared" si="11"/>
        <v>#N/A</v>
      </c>
      <c r="V34" s="774" t="s">
        <v>17</v>
      </c>
      <c r="W34" s="775" t="e">
        <f t="shared" si="12"/>
        <v>#N/A</v>
      </c>
      <c r="X34" s="1816"/>
      <c r="Y34" s="3208"/>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8"/>
      <c r="Q35" s="1813" t="str">
        <f t="shared" ref="Q35:Q40" si="14">B35</f>
        <v>宗地形状</v>
      </c>
      <c r="R35" s="774" t="s">
        <v>17</v>
      </c>
      <c r="S35" s="775">
        <f t="shared" si="10"/>
        <v>100</v>
      </c>
      <c r="T35" s="774" t="s">
        <v>17</v>
      </c>
      <c r="U35" s="775">
        <f t="shared" si="11"/>
        <v>100</v>
      </c>
      <c r="V35" s="774" t="s">
        <v>17</v>
      </c>
      <c r="W35" s="775">
        <f t="shared" si="12"/>
        <v>100</v>
      </c>
      <c r="X35" s="1816"/>
      <c r="Y35" s="3208"/>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8"/>
      <c r="Q36" s="1813"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8" t="s">
        <v>2563</v>
      </c>
      <c r="Q37" s="1813" t="str">
        <f t="shared" si="14"/>
        <v>工程地质条件</v>
      </c>
      <c r="R37" s="774" t="s">
        <v>17</v>
      </c>
      <c r="S37" s="775">
        <f t="shared" si="10"/>
        <v>100</v>
      </c>
      <c r="T37" s="774" t="s">
        <v>17</v>
      </c>
      <c r="U37" s="775">
        <f t="shared" si="11"/>
        <v>100</v>
      </c>
      <c r="V37" s="774" t="s">
        <v>17</v>
      </c>
      <c r="W37" s="775">
        <f t="shared" si="12"/>
        <v>100</v>
      </c>
      <c r="X37" s="1816"/>
      <c r="Y37" s="3208"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8"/>
      <c r="Q38" s="1813">
        <f t="shared" si="14"/>
        <v>111</v>
      </c>
      <c r="R38" s="774" t="s">
        <v>17</v>
      </c>
      <c r="S38" s="775">
        <f t="shared" si="10"/>
        <v>100</v>
      </c>
      <c r="T38" s="774" t="s">
        <v>17</v>
      </c>
      <c r="U38" s="775">
        <f t="shared" si="11"/>
        <v>100</v>
      </c>
      <c r="V38" s="774" t="s">
        <v>17</v>
      </c>
      <c r="W38" s="775">
        <f t="shared" si="12"/>
        <v>100</v>
      </c>
      <c r="X38" s="1816"/>
      <c r="Y38" s="320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8"/>
      <c r="Q39" s="1813">
        <f t="shared" si="14"/>
        <v>111</v>
      </c>
      <c r="R39" s="774" t="s">
        <v>17</v>
      </c>
      <c r="S39" s="775">
        <f t="shared" si="10"/>
        <v>100</v>
      </c>
      <c r="T39" s="774" t="s">
        <v>17</v>
      </c>
      <c r="U39" s="775">
        <f t="shared" si="11"/>
        <v>100</v>
      </c>
      <c r="V39" s="774" t="s">
        <v>17</v>
      </c>
      <c r="W39" s="775">
        <f t="shared" si="12"/>
        <v>100</v>
      </c>
      <c r="X39" s="1816"/>
      <c r="Y39" s="3208"/>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8"/>
      <c r="Q40" s="1813">
        <f t="shared" si="14"/>
        <v>111</v>
      </c>
      <c r="R40" s="777" t="s">
        <v>17</v>
      </c>
      <c r="S40" s="778">
        <f t="shared" si="10"/>
        <v>100</v>
      </c>
      <c r="T40" s="777" t="s">
        <v>17</v>
      </c>
      <c r="U40" s="778">
        <f t="shared" si="11"/>
        <v>100</v>
      </c>
      <c r="V40" s="777" t="s">
        <v>17</v>
      </c>
      <c r="W40" s="778">
        <f t="shared" si="12"/>
        <v>100</v>
      </c>
      <c r="X40" s="779"/>
      <c r="Y40" s="3208"/>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196" t="str">
        <f>A41</f>
        <v>成交单价</v>
      </c>
      <c r="Q41" s="3196"/>
      <c r="R41" s="3210">
        <f>E41</f>
        <v>0</v>
      </c>
      <c r="S41" s="3210"/>
      <c r="T41" s="3210">
        <f>G41</f>
        <v>0</v>
      </c>
      <c r="U41" s="3210"/>
      <c r="V41" s="3210">
        <f>I41</f>
        <v>0</v>
      </c>
      <c r="W41" s="321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96" t="str">
        <f>A42</f>
        <v>比较价值（元/平方米）</v>
      </c>
      <c r="Q42" s="3196"/>
      <c r="R42" s="3282" t="e">
        <f>ROUND(PRODUCT(R41,AA7:AA40),0)</f>
        <v>#DIV/0!</v>
      </c>
      <c r="S42" s="3282"/>
      <c r="T42" s="3282" t="e">
        <f>ROUND(PRODUCT(T41,AB7:AB40),0)</f>
        <v>#DIV/0!</v>
      </c>
      <c r="U42" s="3282"/>
      <c r="V42" s="3282" t="e">
        <f>ROUND(PRODUCT(V41,AC7:AC40),0)</f>
        <v>#DIV/0!</v>
      </c>
      <c r="W42" s="328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83" t="e">
        <f>ROUND(AVERAGE(R42:V42),0)</f>
        <v>#DIV/0!</v>
      </c>
      <c r="S43" s="3283"/>
      <c r="T43" s="3283"/>
      <c r="U43" s="3283"/>
      <c r="V43" s="3283"/>
      <c r="W43" s="328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15" t="s">
        <v>2762</v>
      </c>
      <c r="H50" s="3284"/>
      <c r="I50" s="1817" t="s">
        <v>2799</v>
      </c>
      <c r="J50" s="1817" t="str">
        <f>项目基本情况!F35</f>
        <v>新疆省</v>
      </c>
      <c r="K50" s="2711" t="s">
        <v>2764</v>
      </c>
      <c r="L50" s="1109"/>
      <c r="M50" s="1147"/>
      <c r="N50" s="1147"/>
      <c r="O50" s="1147"/>
    </row>
    <row r="51" spans="1:17" s="692" customFormat="1">
      <c r="A51" s="688" t="s">
        <v>2765</v>
      </c>
      <c r="B51" s="689" t="e">
        <f>C43</f>
        <v>#DIV/0!</v>
      </c>
      <c r="C51" s="690">
        <v>1</v>
      </c>
      <c r="D51" s="1166">
        <v>1</v>
      </c>
      <c r="E51" s="690">
        <f>'数据-汇总表'!E8+'数据-汇总表'!E9</f>
        <v>2644.5600000000004</v>
      </c>
      <c r="F51" s="691" t="e">
        <f t="shared" ref="F51:F60" si="15">ROUND(B51*E51/10000,0)</f>
        <v>#DIV/0!</v>
      </c>
      <c r="G51" s="3211"/>
      <c r="H51" s="3196"/>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8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8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8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8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676.55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2800</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4" t="s">
        <v>2817</v>
      </c>
      <c r="D3" s="2725" t="s">
        <v>2818</v>
      </c>
      <c r="E3" s="2730"/>
      <c r="F3" s="2731" t="s">
        <v>2819</v>
      </c>
      <c r="G3" s="916">
        <f>IF(F3="宗地容积率",'数据-汇总表'!I4,IF(F3="估价对象容积率",'数据-汇总表'!I6,'数据-汇总表'!I7))</f>
        <v>3.91</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97"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3.91</v>
      </c>
      <c r="AA7" s="1609"/>
      <c r="AB7" s="1609"/>
      <c r="AC7" s="1610"/>
      <c r="AD7" s="1611"/>
      <c r="AE7" s="1611"/>
      <c r="AF7" s="1611"/>
      <c r="AG7" s="1611"/>
      <c r="AH7" s="1611"/>
      <c r="AI7" s="1611"/>
      <c r="AJ7" s="1612"/>
    </row>
    <row r="8" spans="1:36" ht="15">
      <c r="A8" s="3298"/>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0" t="s">
        <v>2838</v>
      </c>
      <c r="X8" s="329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98"/>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8"/>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8"/>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2" t="s">
        <v>2862</v>
      </c>
      <c r="X11" s="1617" t="s">
        <v>2863</v>
      </c>
      <c r="Y11" s="1618">
        <f>$G$3</f>
        <v>3.91</v>
      </c>
      <c r="Z11" s="1618">
        <f t="shared" ref="Z11:AJ11" si="3">$G$3</f>
        <v>3.91</v>
      </c>
      <c r="AA11" s="1618">
        <f t="shared" si="3"/>
        <v>3.91</v>
      </c>
      <c r="AB11" s="1618">
        <f t="shared" si="3"/>
        <v>3.91</v>
      </c>
      <c r="AC11" s="1618">
        <f t="shared" si="3"/>
        <v>3.91</v>
      </c>
      <c r="AD11" s="1618">
        <f t="shared" si="3"/>
        <v>3.91</v>
      </c>
      <c r="AE11" s="1618">
        <f t="shared" si="3"/>
        <v>3.91</v>
      </c>
      <c r="AF11" s="1618">
        <f t="shared" si="3"/>
        <v>3.91</v>
      </c>
      <c r="AG11" s="1618">
        <f t="shared" si="3"/>
        <v>3.91</v>
      </c>
      <c r="AH11" s="1618">
        <f t="shared" si="3"/>
        <v>3.91</v>
      </c>
      <c r="AI11" s="1618">
        <f t="shared" si="3"/>
        <v>3.91</v>
      </c>
      <c r="AJ11" s="1618">
        <f t="shared" si="3"/>
        <v>3.91</v>
      </c>
    </row>
    <row r="12" spans="1:36" ht="25.5" thickBot="1">
      <c r="A12" s="3297"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9"/>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t="e">
        <f t="shared" si="0"/>
        <v>#DIV/0!</v>
      </c>
      <c r="U13" s="1606"/>
      <c r="V13" s="1605" t="e">
        <f t="shared" si="1"/>
        <v>#DIV/0!</v>
      </c>
      <c r="W13" s="3292"/>
      <c r="X13" s="1619"/>
      <c r="Y13" s="1616">
        <f>(-0.163*(Y12^2)-0.59*Y12+7617)*(10^(-4))/Y11</f>
        <v>0.19480818414322251</v>
      </c>
      <c r="Z13" s="1616">
        <f t="shared" ref="Z13:AJ13" si="5">(-0.163*(Z12^2)-0.59*Z12+7617)*(10^(-4))/Z11</f>
        <v>0.19480818414322251</v>
      </c>
      <c r="AA13" s="1616">
        <f t="shared" si="5"/>
        <v>0.19480818414322251</v>
      </c>
      <c r="AB13" s="1616">
        <f t="shared" si="5"/>
        <v>0.19480818414322251</v>
      </c>
      <c r="AC13" s="1616">
        <f t="shared" si="5"/>
        <v>0.19480818414322251</v>
      </c>
      <c r="AD13" s="1616">
        <f t="shared" si="5"/>
        <v>0.19480818414322251</v>
      </c>
      <c r="AE13" s="1616">
        <f t="shared" si="5"/>
        <v>0.19480818414322251</v>
      </c>
      <c r="AF13" s="1616">
        <f t="shared" si="5"/>
        <v>0.19480818414322251</v>
      </c>
      <c r="AG13" s="1616">
        <f t="shared" si="5"/>
        <v>0.19480818414322251</v>
      </c>
      <c r="AH13" s="1616">
        <f t="shared" si="5"/>
        <v>0.19480818414322251</v>
      </c>
      <c r="AI13" s="1616">
        <f t="shared" si="5"/>
        <v>0.19480818414322251</v>
      </c>
      <c r="AJ13" s="1616">
        <f t="shared" si="5"/>
        <v>0.19480818414322251</v>
      </c>
    </row>
    <row r="14" spans="1:36" ht="15">
      <c r="A14" s="3299"/>
      <c r="B14" s="2771"/>
      <c r="C14" s="2772"/>
      <c r="D14" s="2773"/>
      <c r="E14" s="2773"/>
      <c r="F14" s="2774"/>
      <c r="G14" s="2775" t="s">
        <v>2875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0"/>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7" t="s">
        <v>2881</v>
      </c>
      <c r="B16" s="2748" t="s">
        <v>2882</v>
      </c>
      <c r="C16" s="1804" t="e">
        <f>ROUND(SUM(G17:J17)/C17,0)</f>
        <v>#DIV/0!</v>
      </c>
      <c r="D16" s="2782" t="s">
        <v>2883</v>
      </c>
      <c r="E16" s="2783"/>
      <c r="F16" s="2784"/>
      <c r="G16" s="2785"/>
      <c r="H16" s="2785"/>
      <c r="I16" s="2785"/>
      <c r="J16" s="2786"/>
      <c r="K16" s="1373"/>
      <c r="L16" s="2787"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8"/>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t="e">
        <f>ROUND(IF(H19="按公示增长率计算",SUMPRODUCT((地价!A3:A22=YEAR(G19)&amp;"-"&amp;ROUNDUP(MONTH(G19)/3,0))*(地价!X2:AB2=E2)*(地价!X3:AB22)),IF(H19="地价指数",M20/M19,(1+I19)^O19)),4)</f>
        <v>#DIV/0!</v>
      </c>
      <c r="D19" s="2800" t="s">
        <v>2891</v>
      </c>
      <c r="E19" s="928">
        <v>41640</v>
      </c>
      <c r="F19" s="2800" t="s">
        <v>2892</v>
      </c>
      <c r="G19" s="929">
        <f>'数据-取费表'!B2</f>
        <v>43214</v>
      </c>
      <c r="H19" s="2801" t="s">
        <v>2893</v>
      </c>
      <c r="I19" s="930" t="str">
        <f>IF(H19="季度增幅（自定义）",SUMIF(N21:N24,E2,O21:O24),"")</f>
        <v/>
      </c>
      <c r="J19" s="2798"/>
      <c r="K19" s="1380"/>
      <c r="L19" s="2802" t="s">
        <v>2894</v>
      </c>
      <c r="M19" s="1737">
        <f>ROUND(SUMIF(地价!B2:F2,E2,地价!B22:F22),0)</f>
        <v>0</v>
      </c>
      <c r="N19" s="2803" t="s">
        <v>2895</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71">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8">
        <f>ROUND(SUMPRODUCT((地价!A4:A22=YEAR(G19)&amp;"-"&amp;ROUNDUP(MONTH(G19)/3,0))*(地价!B2:F2=E2)*(地价!B4:F22)),0)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3" t="s">
        <v>2907</v>
      </c>
      <c r="D22" s="1813">
        <f>IF(E22=G22,F22,IF(G3&lt;=10,ROUND(F22+(H22-F22)*(G3-E22)/(G22-E22),4),"——"))</f>
        <v>0</v>
      </c>
      <c r="E22" s="916">
        <f>ROUNDDOWN(G3,1)</f>
        <v>3.9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2908</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0</v>
      </c>
      <c r="D24" s="2796"/>
      <c r="E24" s="2826"/>
      <c r="F24" s="2826"/>
      <c r="G24" s="2826"/>
      <c r="H24" s="2826"/>
      <c r="I24" s="2826"/>
      <c r="J24" s="2827"/>
      <c r="K24" s="1380"/>
      <c r="N24" s="2828" t="s">
        <v>2913</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07" t="s">
        <v>2930</v>
      </c>
      <c r="B33" s="2864" t="s">
        <v>2931</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8"/>
      <c r="B34" s="2768" t="s">
        <v>2932</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8"/>
      <c r="B35" s="2768" t="s">
        <v>2933</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09"/>
      <c r="B36" s="2768" t="s">
        <v>2934</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3"/>
      <c r="L38" s="1890"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t="e">
        <f>ROUND(C5*C19*C20*C24*F39,0)</f>
        <v>#DIV/0!</v>
      </c>
      <c r="D39" s="2854"/>
      <c r="E39" s="229" t="e">
        <f t="shared" si="7"/>
        <v>#DIV/0!</v>
      </c>
      <c r="F39" s="935">
        <f>SUMIF(修正!A45:A56,G2,修正!H45:H56)</f>
        <v>0</v>
      </c>
      <c r="G39" s="229" t="e">
        <f t="shared" si="6"/>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2" t="s">
        <v>2943</v>
      </c>
      <c r="C47" s="1812" t="s">
        <v>2944</v>
      </c>
      <c r="D47" s="1812" t="s">
        <v>2945</v>
      </c>
      <c r="E47" s="819" t="s">
        <v>2946</v>
      </c>
      <c r="F47" s="2882" t="s">
        <v>2947</v>
      </c>
      <c r="G47" s="1812" t="s">
        <v>754</v>
      </c>
      <c r="H47" s="2883" t="s">
        <v>2948</v>
      </c>
      <c r="I47" s="1812"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2950</v>
      </c>
      <c r="B48" s="2884" t="str">
        <f>估价对象房地状况!C4</f>
        <v>估价对象周边商业氛围一般，人流量较大，商业繁华度一般</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2951</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2958</v>
      </c>
      <c r="B54" s="1728" t="str">
        <f>估价对象房地状况!C21</f>
        <v>估价对象所在区域公共配套设施较齐备</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估价对象所在区域基础设施七通</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2960</v>
      </c>
      <c r="B56" s="2890" t="str">
        <f>估价对象房地状况!C20</f>
        <v>区域自然环境：；人文环境；综合评价环境状况较好</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2"/>
      <c r="C58" s="1812" t="s">
        <v>2944</v>
      </c>
      <c r="D58" s="1812" t="s">
        <v>2945</v>
      </c>
      <c r="E58" s="819" t="s">
        <v>2946</v>
      </c>
      <c r="F58" s="2882" t="s">
        <v>2962</v>
      </c>
      <c r="G58" s="1812" t="s">
        <v>754</v>
      </c>
      <c r="H58" s="2883" t="s">
        <v>2948</v>
      </c>
      <c r="I58" s="1812"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估价对象周边办公楼项目数量一般，入驻率较高，办公集聚程度一般</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2951</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2958</v>
      </c>
      <c r="B65" s="1728" t="str">
        <f>估价对象房地状况!C21</f>
        <v>估价对象所在区域公共配套设施较齐备</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8" t="str">
        <f>估价对象房地状况!C22</f>
        <v>估价对象所在区域基础设施七通</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2960</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2"/>
      <c r="C69" s="1812" t="s">
        <v>2944</v>
      </c>
      <c r="D69" s="1812" t="s">
        <v>2945</v>
      </c>
      <c r="E69" s="819" t="s">
        <v>2946</v>
      </c>
      <c r="F69" s="2882" t="s">
        <v>2962</v>
      </c>
      <c r="G69" s="1812" t="s">
        <v>754</v>
      </c>
      <c r="H69" s="2883" t="s">
        <v>2948</v>
      </c>
      <c r="I69" s="1812"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2951</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2958</v>
      </c>
      <c r="B74" s="1728" t="str">
        <f>估价对象房地状况!C21</f>
        <v>估价对象所在区域公共配套设施较齐备</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8" t="str">
        <f>估价对象房地状况!C22</f>
        <v>估价对象所在区域基础设施七通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2960</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2"/>
      <c r="C80" s="1812" t="s">
        <v>2944</v>
      </c>
      <c r="D80" s="1812" t="s">
        <v>2945</v>
      </c>
      <c r="E80" s="819" t="s">
        <v>2946</v>
      </c>
      <c r="F80" s="2882" t="s">
        <v>2962</v>
      </c>
      <c r="G80" s="1812" t="s">
        <v>754</v>
      </c>
      <c r="H80" s="2883" t="s">
        <v>2948</v>
      </c>
      <c r="I80" s="1812" t="s">
        <v>2949</v>
      </c>
      <c r="J80" s="603" t="s">
        <v>2595</v>
      </c>
      <c r="K80" s="603" t="s">
        <v>2596</v>
      </c>
      <c r="L80" s="603" t="s">
        <v>2597</v>
      </c>
      <c r="M80" s="603" t="s">
        <v>2598</v>
      </c>
      <c r="N80" s="603" t="s">
        <v>2599</v>
      </c>
      <c r="Z80" s="2723"/>
      <c r="AA80" s="2799"/>
      <c r="AG80" s="1375"/>
      <c r="AK80" s="2799"/>
    </row>
    <row r="81" spans="1:37" ht="38.25">
      <c r="A81" s="2881" t="s">
        <v>2969</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01" t="s">
        <v>2972</v>
      </c>
      <c r="B90" s="3301"/>
      <c r="C90" s="3301"/>
      <c r="D90" s="3301"/>
      <c r="E90" s="3301"/>
      <c r="F90" s="3301"/>
      <c r="G90" s="3301"/>
      <c r="H90" s="3301"/>
      <c r="I90" s="3301"/>
      <c r="J90" s="3301"/>
      <c r="K90" s="2895"/>
      <c r="L90" s="2895"/>
      <c r="M90" s="2895"/>
      <c r="N90" s="2895"/>
    </row>
    <row r="91" spans="1:37">
      <c r="A91" s="3303" t="s">
        <v>2973</v>
      </c>
      <c r="B91" s="3303" t="s">
        <v>2974</v>
      </c>
      <c r="C91" s="2849" t="s">
        <v>2975</v>
      </c>
      <c r="D91" s="2850"/>
      <c r="E91" s="2850"/>
      <c r="F91" s="2850"/>
      <c r="G91" s="2850"/>
      <c r="H91" s="2850"/>
      <c r="I91" s="2850"/>
      <c r="J91" s="2896"/>
      <c r="K91" s="2897"/>
      <c r="L91" s="2897"/>
      <c r="M91" s="2897"/>
      <c r="N91" s="2897"/>
    </row>
    <row r="92" spans="1:37">
      <c r="A92" s="3303"/>
      <c r="B92" s="3303"/>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04"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5"/>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0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04" t="s">
        <v>2977</v>
      </c>
      <c r="B101" s="2902" t="s">
        <v>2978</v>
      </c>
      <c r="C101" s="2903">
        <f>$G$3</f>
        <v>3.91</v>
      </c>
      <c r="D101" s="2903">
        <f t="shared" ref="D101:N101" si="31">$G$3</f>
        <v>3.91</v>
      </c>
      <c r="E101" s="2903">
        <f t="shared" si="31"/>
        <v>3.91</v>
      </c>
      <c r="F101" s="2903">
        <f t="shared" si="31"/>
        <v>3.91</v>
      </c>
      <c r="G101" s="2903">
        <f t="shared" si="31"/>
        <v>3.91</v>
      </c>
      <c r="H101" s="2903">
        <f t="shared" si="31"/>
        <v>3.91</v>
      </c>
      <c r="I101" s="2903">
        <f t="shared" si="31"/>
        <v>3.91</v>
      </c>
      <c r="J101" s="2903">
        <f t="shared" si="31"/>
        <v>3.91</v>
      </c>
      <c r="K101" s="2903">
        <f t="shared" si="31"/>
        <v>3.91</v>
      </c>
      <c r="L101" s="2903">
        <f t="shared" si="31"/>
        <v>3.91</v>
      </c>
      <c r="M101" s="2903">
        <f t="shared" si="31"/>
        <v>3.91</v>
      </c>
      <c r="N101" s="2903">
        <f t="shared" si="31"/>
        <v>3.91</v>
      </c>
    </row>
    <row r="102" spans="1:14">
      <c r="A102" s="3305"/>
      <c r="B102" s="2898">
        <v>1</v>
      </c>
      <c r="C102" s="2899">
        <f>1.9362/C101</f>
        <v>0.49519181585677746</v>
      </c>
      <c r="D102" s="2899">
        <f>1.9362/D101</f>
        <v>0.49519181585677746</v>
      </c>
      <c r="E102" s="2899">
        <f>1.8629/E101</f>
        <v>0.47644501278772378</v>
      </c>
      <c r="F102" s="2899">
        <f>1.8629/F101</f>
        <v>0.47644501278772378</v>
      </c>
      <c r="G102" s="2899">
        <f>1.8629/G101</f>
        <v>0.47644501278772378</v>
      </c>
      <c r="H102" s="2899">
        <f>1.8629/H101</f>
        <v>0.47644501278772378</v>
      </c>
      <c r="I102" s="2899">
        <f>1.8629/I101</f>
        <v>0.47644501278772378</v>
      </c>
      <c r="J102" s="2899">
        <f>1.942/J101</f>
        <v>0.49667519181585673</v>
      </c>
      <c r="K102" s="2899">
        <f>1.942/K101</f>
        <v>0.49667519181585673</v>
      </c>
      <c r="L102" s="2899">
        <f>1.942/L101</f>
        <v>0.49667519181585673</v>
      </c>
      <c r="M102" s="2899">
        <f>1.942/M101</f>
        <v>0.49667519181585673</v>
      </c>
      <c r="N102" s="2899">
        <f>1.942/N101</f>
        <v>0.49667519181585673</v>
      </c>
    </row>
    <row r="103" spans="1:14">
      <c r="A103" s="3305"/>
      <c r="B103" s="2898">
        <v>2</v>
      </c>
      <c r="C103" s="2899">
        <f>1.4198/C101</f>
        <v>0.36312020460358052</v>
      </c>
      <c r="D103" s="2899">
        <f>1.4198/D101</f>
        <v>0.36312020460358052</v>
      </c>
      <c r="E103" s="2899">
        <f>1.3372/E101</f>
        <v>0.34199488491048591</v>
      </c>
      <c r="F103" s="2899">
        <f>1.3372/F101</f>
        <v>0.34199488491048591</v>
      </c>
      <c r="G103" s="2899">
        <f>1.3372/G101</f>
        <v>0.34199488491048591</v>
      </c>
      <c r="H103" s="2899">
        <f>1.3372/H101</f>
        <v>0.34199488491048591</v>
      </c>
      <c r="I103" s="2899">
        <f>1.3372/I101</f>
        <v>0.34199488491048591</v>
      </c>
      <c r="J103" s="2899">
        <f>1.2799/J101</f>
        <v>0.32734015345268541</v>
      </c>
      <c r="K103" s="2899">
        <f>1.2799/K101</f>
        <v>0.32734015345268541</v>
      </c>
      <c r="L103" s="2899">
        <f>1.2799/L101</f>
        <v>0.32734015345268541</v>
      </c>
      <c r="M103" s="2899">
        <f>1.2799/M101</f>
        <v>0.32734015345268541</v>
      </c>
      <c r="N103" s="2899">
        <f>1.2799/N101</f>
        <v>0.32734015345268541</v>
      </c>
    </row>
    <row r="104" spans="1:14">
      <c r="A104" s="3305"/>
      <c r="B104" s="2898">
        <v>3</v>
      </c>
      <c r="C104" s="2899">
        <f>1.1594/C101</f>
        <v>0.29652173913043478</v>
      </c>
      <c r="D104" s="2899">
        <f>1.1594/D101</f>
        <v>0.29652173913043478</v>
      </c>
      <c r="E104" s="2899">
        <f>1.0788/E101</f>
        <v>0.27590792838874678</v>
      </c>
      <c r="F104" s="2899">
        <f>1.0788/F101</f>
        <v>0.27590792838874678</v>
      </c>
      <c r="G104" s="2899">
        <f>1.0788/G101</f>
        <v>0.27590792838874678</v>
      </c>
      <c r="H104" s="2899">
        <f>1.0788/H101</f>
        <v>0.27590792838874678</v>
      </c>
      <c r="I104" s="2899">
        <f>1.0788/I101</f>
        <v>0.27590792838874678</v>
      </c>
      <c r="J104" s="2899">
        <f>1.0072/J101</f>
        <v>0.25759590792838877</v>
      </c>
      <c r="K104" s="2899">
        <f>1.0072/K101</f>
        <v>0.25759590792838877</v>
      </c>
      <c r="L104" s="2899">
        <f>1.0072/L101</f>
        <v>0.25759590792838877</v>
      </c>
      <c r="M104" s="2899">
        <f>1.0072/M101</f>
        <v>0.25759590792838877</v>
      </c>
      <c r="N104" s="2899">
        <f>1.0072/N101</f>
        <v>0.25759590792838877</v>
      </c>
    </row>
    <row r="105" spans="1:14">
      <c r="A105" s="3305"/>
      <c r="B105" s="2898">
        <v>4</v>
      </c>
      <c r="C105" s="2899">
        <f>0.9622/C101</f>
        <v>0.24608695652173915</v>
      </c>
      <c r="D105" s="2899">
        <f>0.9622/D101</f>
        <v>0.24608695652173915</v>
      </c>
      <c r="E105" s="2899">
        <f>0.8656/E101</f>
        <v>0.22138107416879796</v>
      </c>
      <c r="F105" s="2899">
        <f>0.8656/F101</f>
        <v>0.22138107416879796</v>
      </c>
      <c r="G105" s="2899">
        <f>0.8656/G101</f>
        <v>0.22138107416879796</v>
      </c>
      <c r="H105" s="2899">
        <f>0.8656/H101</f>
        <v>0.22138107416879796</v>
      </c>
      <c r="I105" s="2899">
        <f>0.8656/I101</f>
        <v>0.22138107416879796</v>
      </c>
      <c r="J105" s="2899">
        <f>0.7525/J101</f>
        <v>0.1924552429667519</v>
      </c>
      <c r="K105" s="2899">
        <f>0.7525/K101</f>
        <v>0.1924552429667519</v>
      </c>
      <c r="L105" s="2899">
        <f>0.7525/L101</f>
        <v>0.1924552429667519</v>
      </c>
      <c r="M105" s="2899">
        <f>0.7525/M101</f>
        <v>0.1924552429667519</v>
      </c>
      <c r="N105" s="2899">
        <f>0.7525/N101</f>
        <v>0.1924552429667519</v>
      </c>
    </row>
    <row r="106" spans="1:14">
      <c r="A106" s="3305"/>
      <c r="B106" s="2898">
        <v>5</v>
      </c>
      <c r="C106" s="2899">
        <f>0.8417/C101</f>
        <v>0.21526854219948849</v>
      </c>
      <c r="D106" s="2899">
        <f>0.8417/D101</f>
        <v>0.21526854219948849</v>
      </c>
      <c r="E106" s="2899">
        <f>0.7371/E101</f>
        <v>0.18851662404092071</v>
      </c>
      <c r="F106" s="2899">
        <f>0.7371/F101</f>
        <v>0.18851662404092071</v>
      </c>
      <c r="G106" s="2899">
        <f>0.7371/G101</f>
        <v>0.18851662404092071</v>
      </c>
      <c r="H106" s="2899">
        <f>0.7371/H101</f>
        <v>0.18851662404092071</v>
      </c>
      <c r="I106" s="2899">
        <f>0.7371/I101</f>
        <v>0.18851662404092071</v>
      </c>
      <c r="J106" s="2899">
        <f>0.5659/J101</f>
        <v>0.1447314578005115</v>
      </c>
      <c r="K106" s="2899">
        <f>0.5659/K101</f>
        <v>0.1447314578005115</v>
      </c>
      <c r="L106" s="2899">
        <f>0.5659/L101</f>
        <v>0.1447314578005115</v>
      </c>
      <c r="M106" s="2899">
        <f>0.5659/M101</f>
        <v>0.1447314578005115</v>
      </c>
      <c r="N106" s="2899">
        <f>0.5659/N101</f>
        <v>0.1447314578005115</v>
      </c>
    </row>
    <row r="107" spans="1:14">
      <c r="A107" s="3305"/>
      <c r="B107" s="2898">
        <v>6</v>
      </c>
      <c r="C107" s="2899">
        <f>0.7608/C101</f>
        <v>0.19457800511508952</v>
      </c>
      <c r="D107" s="2899">
        <f>0.7608/D101</f>
        <v>0.19457800511508952</v>
      </c>
      <c r="E107" s="2899">
        <f>0.6482/E101</f>
        <v>0.16578005115089514</v>
      </c>
      <c r="F107" s="2899">
        <f>0.6482/F101</f>
        <v>0.16578005115089514</v>
      </c>
      <c r="G107" s="2899">
        <f>0.6482/G101</f>
        <v>0.16578005115089514</v>
      </c>
      <c r="H107" s="2899">
        <f>0.6482/H101</f>
        <v>0.16578005115089514</v>
      </c>
      <c r="I107" s="2899">
        <f>0.6482/I101</f>
        <v>0.16578005115089514</v>
      </c>
      <c r="J107" s="2899">
        <f>0.4525/J101</f>
        <v>0.11572890025575447</v>
      </c>
      <c r="K107" s="2899">
        <f>0.4525/K101</f>
        <v>0.11572890025575447</v>
      </c>
      <c r="L107" s="2899">
        <f>0.4525/L101</f>
        <v>0.11572890025575447</v>
      </c>
      <c r="M107" s="2899">
        <f>0.4525/M101</f>
        <v>0.11572890025575447</v>
      </c>
      <c r="N107" s="2899">
        <f>0.4525/N101</f>
        <v>0.11572890025575447</v>
      </c>
    </row>
    <row r="108" spans="1:14">
      <c r="A108" s="3305"/>
      <c r="B108" s="3161"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06"/>
      <c r="B109" s="3162"/>
      <c r="C109" s="2901">
        <f>(-0.163*(C108^2)-0.59*C108+7617)*(10^(-4))/C101</f>
        <v>0.19480818414322251</v>
      </c>
      <c r="D109" s="2901">
        <f>(-0.163*(D108^2)-0.59*D108+7617)*(10^(-4))/D101</f>
        <v>0.19480818414322251</v>
      </c>
      <c r="E109" s="2901">
        <f>(-0.161*(E108^2)-7.509*E108+6533)*(10^(-4))/E101</f>
        <v>0.1670843989769821</v>
      </c>
      <c r="F109" s="2901">
        <f>(-0.161*(F108^2)-7.509*F108+6533)*(10^(-4))/F101</f>
        <v>0.1670843989769821</v>
      </c>
      <c r="G109" s="2901">
        <f>(-0.161*(G108^2)-7.509*G108+6533)*(10^(-4))/G101</f>
        <v>0.1670843989769821</v>
      </c>
      <c r="H109" s="2901">
        <f>(-0.161*(H108^2)-7.509*H108+6533)*(10^(-4))/H101</f>
        <v>0.1670843989769821</v>
      </c>
      <c r="I109" s="2901">
        <f>(-0.161*(I108^2)-7.509*I108+6533)*(10^(-4))/I101</f>
        <v>0.1670843989769821</v>
      </c>
      <c r="J109" s="2901">
        <f>(-0.214*(J108^2)-21.991*J108+4665)*(10^(-4))/J101</f>
        <v>0.11930946291560103</v>
      </c>
      <c r="K109" s="2901">
        <f>(-0.214*(K108^2)-21.991*K108+4665)*(10^(-4))/K101</f>
        <v>0.11930946291560103</v>
      </c>
      <c r="L109" s="2901">
        <f>(-0.214*(L108^2)-21.991*L108+4665)*(10^(-4))/L101</f>
        <v>0.11930946291560103</v>
      </c>
      <c r="M109" s="2901">
        <f>(-0.214*(M108^2)-21.991*M108+4665)*(10^(-4))/M101</f>
        <v>0.11930946291560103</v>
      </c>
      <c r="N109" s="2901">
        <f>(-0.214*(N108^2)-21.991*N108+4665)*(10^(-4))/N101</f>
        <v>0.11930946291560103</v>
      </c>
    </row>
    <row r="110" spans="1:14">
      <c r="A110" s="3302" t="s">
        <v>2980</v>
      </c>
      <c r="B110" s="3302"/>
      <c r="C110" s="3302"/>
      <c r="D110" s="3302"/>
      <c r="E110" s="3302"/>
      <c r="F110" s="3302"/>
      <c r="G110" s="3302"/>
      <c r="H110" s="3302"/>
      <c r="I110" s="3302"/>
      <c r="J110" s="3302"/>
      <c r="K110" s="2904"/>
      <c r="L110" s="2904"/>
      <c r="M110" s="2904"/>
      <c r="N110" s="2904"/>
    </row>
    <row r="112" spans="1:14" ht="13.5" thickBot="1"/>
    <row r="113" spans="1:13" ht="25.5" thickBot="1">
      <c r="A113" s="903" t="s">
        <v>2981</v>
      </c>
      <c r="B113" s="1290">
        <f>G3</f>
        <v>3.91</v>
      </c>
      <c r="C113" s="904" t="s">
        <v>2982</v>
      </c>
      <c r="D113" s="905">
        <f>SUMPRODUCT((A115:A118=F113)*(B114:M114=H113)*B115:M118)</f>
        <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0.89670000000000005</v>
      </c>
      <c r="C115" s="910">
        <f>B115</f>
        <v>0.89670000000000005</v>
      </c>
      <c r="D115" s="910">
        <f>ROUND(0.8331-0.0109*B113,4)</f>
        <v>0.79049999999999998</v>
      </c>
      <c r="E115" s="910">
        <f>D115</f>
        <v>0.79049999999999998</v>
      </c>
      <c r="F115" s="910">
        <f>E115</f>
        <v>0.79049999999999998</v>
      </c>
      <c r="G115" s="910">
        <f>F115</f>
        <v>0.79049999999999998</v>
      </c>
      <c r="H115" s="910">
        <f>G115</f>
        <v>0.79049999999999998</v>
      </c>
      <c r="I115" s="910">
        <f>ROUND(0.689-0.0155*B113,4)</f>
        <v>0.62839999999999996</v>
      </c>
      <c r="J115" s="910">
        <f t="shared" ref="J115:M118" si="33">I115</f>
        <v>0.62839999999999996</v>
      </c>
      <c r="K115" s="910">
        <f t="shared" si="33"/>
        <v>0.62839999999999996</v>
      </c>
      <c r="L115" s="910">
        <f t="shared" si="33"/>
        <v>0.62839999999999996</v>
      </c>
      <c r="M115" s="911">
        <f t="shared" si="33"/>
        <v>0.62839999999999996</v>
      </c>
    </row>
    <row r="116" spans="1:13">
      <c r="A116" s="909" t="s">
        <v>2878</v>
      </c>
      <c r="B116" s="910">
        <f>ROUND(0.949-0.012*B113,4)</f>
        <v>0.90210000000000001</v>
      </c>
      <c r="C116" s="910">
        <f>B116</f>
        <v>0.90210000000000001</v>
      </c>
      <c r="D116" s="910">
        <f>ROUND(0.8567-0.013*B113,4)</f>
        <v>0.80589999999999995</v>
      </c>
      <c r="E116" s="910">
        <f t="shared" ref="E116:H117" si="34">D116</f>
        <v>0.80589999999999995</v>
      </c>
      <c r="F116" s="910">
        <f t="shared" si="34"/>
        <v>0.80589999999999995</v>
      </c>
      <c r="G116" s="910">
        <f t="shared" si="34"/>
        <v>0.80589999999999995</v>
      </c>
      <c r="H116" s="910">
        <f t="shared" si="34"/>
        <v>0.80589999999999995</v>
      </c>
      <c r="I116" s="910">
        <f>ROUND(0.7694-0.014*B113,4)</f>
        <v>0.7147</v>
      </c>
      <c r="J116" s="910">
        <f t="shared" si="33"/>
        <v>0.7147</v>
      </c>
      <c r="K116" s="910">
        <f t="shared" si="33"/>
        <v>0.7147</v>
      </c>
      <c r="L116" s="910">
        <f t="shared" si="33"/>
        <v>0.7147</v>
      </c>
      <c r="M116" s="911">
        <f t="shared" si="33"/>
        <v>0.7147</v>
      </c>
    </row>
    <row r="117" spans="1:13">
      <c r="A117" s="909" t="s">
        <v>2879</v>
      </c>
      <c r="B117" s="910">
        <f>ROUND(0.8808-0.006*B113,4)</f>
        <v>0.85729999999999995</v>
      </c>
      <c r="C117" s="910">
        <f>B117</f>
        <v>0.85729999999999995</v>
      </c>
      <c r="D117" s="910">
        <f>ROUND(0.8748-0.008*B113,4)</f>
        <v>0.84350000000000003</v>
      </c>
      <c r="E117" s="910">
        <f t="shared" si="34"/>
        <v>0.84350000000000003</v>
      </c>
      <c r="F117" s="910">
        <f t="shared" si="34"/>
        <v>0.84350000000000003</v>
      </c>
      <c r="G117" s="910">
        <f t="shared" si="34"/>
        <v>0.84350000000000003</v>
      </c>
      <c r="H117" s="910">
        <f t="shared" si="34"/>
        <v>0.84350000000000003</v>
      </c>
      <c r="I117" s="910">
        <f>ROUND(0.7412-0.0095*B113,4)</f>
        <v>0.70409999999999995</v>
      </c>
      <c r="J117" s="910">
        <f t="shared" si="33"/>
        <v>0.70409999999999995</v>
      </c>
      <c r="K117" s="910">
        <f t="shared" si="33"/>
        <v>0.70409999999999995</v>
      </c>
      <c r="L117" s="910">
        <f t="shared" si="33"/>
        <v>0.70409999999999995</v>
      </c>
      <c r="M117" s="911">
        <f t="shared" si="33"/>
        <v>0.70409999999999995</v>
      </c>
    </row>
    <row r="118" spans="1:13" ht="13.5" thickBot="1">
      <c r="A118" s="714" t="s">
        <v>2880</v>
      </c>
      <c r="B118" s="912">
        <f>ROUND(0.7275-0.01*B113,4)</f>
        <v>0.68840000000000001</v>
      </c>
      <c r="C118" s="912">
        <f>B118</f>
        <v>0.68840000000000001</v>
      </c>
      <c r="D118" s="912">
        <f>ROUND(0.7043-0.012*B113,4)</f>
        <v>0.65739999999999998</v>
      </c>
      <c r="E118" s="912">
        <f>D118</f>
        <v>0.65739999999999998</v>
      </c>
      <c r="F118" s="912">
        <f>E118</f>
        <v>0.65739999999999998</v>
      </c>
      <c r="G118" s="912">
        <f>ROUND(0.6299-0.0122*B113,4)</f>
        <v>0.58220000000000005</v>
      </c>
      <c r="H118" s="912">
        <f>G118</f>
        <v>0.58220000000000005</v>
      </c>
      <c r="I118" s="912">
        <f>ROUND(0.5667-0.0136*B113,4)</f>
        <v>0.51349999999999996</v>
      </c>
      <c r="J118" s="912">
        <f t="shared" si="33"/>
        <v>0.51349999999999996</v>
      </c>
      <c r="K118" s="912">
        <f t="shared" si="33"/>
        <v>0.51349999999999996</v>
      </c>
      <c r="L118" s="912">
        <f t="shared" si="33"/>
        <v>0.51349999999999996</v>
      </c>
      <c r="M118" s="913">
        <f t="shared" si="33"/>
        <v>0.51349999999999996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0" t="s">
        <v>183</v>
      </c>
      <c r="B18" s="882" t="s">
        <v>560</v>
      </c>
      <c r="C18" s="883" t="s">
        <v>561</v>
      </c>
      <c r="D18" s="884"/>
      <c r="E18" s="882">
        <v>1</v>
      </c>
      <c r="F18" s="885" t="s">
        <v>562</v>
      </c>
      <c r="G18" s="886"/>
      <c r="H18" s="878"/>
      <c r="I18" s="878"/>
    </row>
    <row r="19" spans="1:9" s="887" customFormat="1" ht="19.5" customHeight="1">
      <c r="A19" s="3310"/>
      <c r="B19" s="3310" t="s">
        <v>563</v>
      </c>
      <c r="C19" s="883" t="s">
        <v>564</v>
      </c>
      <c r="D19" s="884"/>
      <c r="E19" s="882">
        <v>0.9</v>
      </c>
      <c r="F19" s="885" t="s">
        <v>565</v>
      </c>
      <c r="G19" s="886"/>
      <c r="H19" s="878"/>
      <c r="I19" s="878"/>
    </row>
    <row r="20" spans="1:9" s="887" customFormat="1" ht="19.5" customHeight="1">
      <c r="A20" s="3310"/>
      <c r="B20" s="3310"/>
      <c r="C20" s="883" t="s">
        <v>566</v>
      </c>
      <c r="D20" s="884"/>
      <c r="E20" s="882">
        <v>1.1000000000000001</v>
      </c>
      <c r="F20" s="885" t="s">
        <v>567</v>
      </c>
      <c r="G20" s="886"/>
      <c r="H20" s="878"/>
      <c r="I20" s="878"/>
    </row>
    <row r="21" spans="1:9" s="887" customFormat="1" ht="19.5" customHeight="1">
      <c r="A21" s="3310"/>
      <c r="B21" s="3310"/>
      <c r="C21" s="883" t="s">
        <v>568</v>
      </c>
      <c r="D21" s="884"/>
      <c r="E21" s="882">
        <v>0.8</v>
      </c>
      <c r="F21" s="885" t="s">
        <v>569</v>
      </c>
      <c r="G21" s="886"/>
      <c r="H21" s="878"/>
      <c r="I21" s="878"/>
    </row>
    <row r="22" spans="1:9" s="887" customFormat="1" ht="19.5" customHeight="1">
      <c r="A22" s="3310"/>
      <c r="B22" s="3310"/>
      <c r="C22" s="883" t="s">
        <v>570</v>
      </c>
      <c r="D22" s="884"/>
      <c r="E22" s="882">
        <v>0.5</v>
      </c>
      <c r="F22" s="885"/>
      <c r="G22" s="886"/>
      <c r="H22" s="878"/>
      <c r="I22" s="878"/>
    </row>
    <row r="23" spans="1:9" s="887" customFormat="1" ht="19.5" customHeight="1">
      <c r="A23" s="3310" t="s">
        <v>184</v>
      </c>
      <c r="B23" s="882" t="s">
        <v>560</v>
      </c>
      <c r="C23" s="883" t="s">
        <v>571</v>
      </c>
      <c r="D23" s="884"/>
      <c r="E23" s="882">
        <v>1</v>
      </c>
      <c r="F23" s="885" t="s">
        <v>572</v>
      </c>
      <c r="G23" s="886"/>
      <c r="H23" s="878"/>
      <c r="I23" s="878"/>
    </row>
    <row r="24" spans="1:9" s="887" customFormat="1" ht="19.5" customHeight="1">
      <c r="A24" s="3310"/>
      <c r="B24" s="3310" t="s">
        <v>563</v>
      </c>
      <c r="C24" s="883" t="s">
        <v>573</v>
      </c>
      <c r="D24" s="884"/>
      <c r="E24" s="882">
        <v>0.5</v>
      </c>
      <c r="F24" s="885"/>
      <c r="G24" s="886"/>
      <c r="H24" s="878"/>
      <c r="I24" s="878"/>
    </row>
    <row r="25" spans="1:9" s="887" customFormat="1" ht="19.5" customHeight="1">
      <c r="A25" s="3310"/>
      <c r="B25" s="3310"/>
      <c r="C25" s="883" t="s">
        <v>574</v>
      </c>
      <c r="D25" s="884"/>
      <c r="E25" s="882">
        <v>1.1000000000000001</v>
      </c>
      <c r="F25" s="885"/>
      <c r="G25" s="886"/>
      <c r="H25" s="878"/>
      <c r="I25" s="878"/>
    </row>
    <row r="26" spans="1:9" s="887" customFormat="1" ht="19.5" customHeight="1">
      <c r="A26" s="3310"/>
      <c r="B26" s="3310"/>
      <c r="C26" s="883" t="s">
        <v>575</v>
      </c>
      <c r="D26" s="884"/>
      <c r="E26" s="882">
        <v>1.1000000000000001</v>
      </c>
      <c r="F26" s="885"/>
      <c r="G26" s="886"/>
      <c r="H26" s="878"/>
      <c r="I26" s="878"/>
    </row>
    <row r="27" spans="1:9" s="887" customFormat="1" ht="19.5" customHeight="1">
      <c r="A27" s="3310"/>
      <c r="B27" s="3310"/>
      <c r="C27" s="883" t="s">
        <v>576</v>
      </c>
      <c r="D27" s="884"/>
      <c r="E27" s="882">
        <v>0.9</v>
      </c>
      <c r="F27" s="885" t="s">
        <v>577</v>
      </c>
      <c r="G27" s="886"/>
      <c r="H27" s="878"/>
      <c r="I27" s="878"/>
    </row>
    <row r="28" spans="1:9" s="887" customFormat="1" ht="19.5" customHeight="1">
      <c r="A28" s="3310"/>
      <c r="B28" s="3310"/>
      <c r="C28" s="883" t="s">
        <v>578</v>
      </c>
      <c r="D28" s="884"/>
      <c r="E28" s="882">
        <v>0.9</v>
      </c>
      <c r="F28" s="885" t="s">
        <v>579</v>
      </c>
      <c r="G28" s="886"/>
      <c r="H28" s="878"/>
      <c r="I28" s="878"/>
    </row>
    <row r="29" spans="1:9" s="887" customFormat="1" ht="19.5" customHeight="1">
      <c r="A29" s="3310"/>
      <c r="B29" s="3310"/>
      <c r="C29" s="883" t="s">
        <v>580</v>
      </c>
      <c r="D29" s="884"/>
      <c r="E29" s="882">
        <v>0.9</v>
      </c>
      <c r="F29" s="885" t="s">
        <v>581</v>
      </c>
      <c r="G29" s="886"/>
      <c r="H29" s="878"/>
      <c r="I29" s="878"/>
    </row>
    <row r="30" spans="1:9" s="887" customFormat="1" ht="19.5" customHeight="1">
      <c r="A30" s="3310"/>
      <c r="B30" s="3310"/>
      <c r="C30" s="883" t="s">
        <v>582</v>
      </c>
      <c r="D30" s="884"/>
      <c r="E30" s="882">
        <v>0.9</v>
      </c>
      <c r="F30" s="885" t="s">
        <v>583</v>
      </c>
      <c r="G30" s="886"/>
      <c r="H30" s="878"/>
      <c r="I30" s="878"/>
    </row>
    <row r="31" spans="1:9" s="887" customFormat="1" ht="19.5" customHeight="1">
      <c r="A31" s="3310"/>
      <c r="B31" s="3310"/>
      <c r="C31" s="883" t="s">
        <v>584</v>
      </c>
      <c r="D31" s="884"/>
      <c r="E31" s="882">
        <v>0.8</v>
      </c>
      <c r="F31" s="885" t="s">
        <v>585</v>
      </c>
      <c r="G31" s="886"/>
      <c r="H31" s="878"/>
      <c r="I31" s="878"/>
    </row>
    <row r="32" spans="1:9" s="887" customFormat="1" ht="19.5" customHeight="1">
      <c r="A32" s="3310"/>
      <c r="B32" s="3310"/>
      <c r="C32" s="883" t="s">
        <v>586</v>
      </c>
      <c r="D32" s="884"/>
      <c r="E32" s="882">
        <v>0.8</v>
      </c>
      <c r="F32" s="885" t="s">
        <v>587</v>
      </c>
      <c r="G32" s="886"/>
      <c r="H32" s="878"/>
      <c r="I32" s="878"/>
    </row>
    <row r="33" spans="1:9" s="887" customFormat="1" ht="19.5" customHeight="1">
      <c r="A33" s="3310" t="s">
        <v>185</v>
      </c>
      <c r="B33" s="882" t="s">
        <v>560</v>
      </c>
      <c r="C33" s="883" t="s">
        <v>588</v>
      </c>
      <c r="D33" s="884"/>
      <c r="E33" s="882">
        <v>1</v>
      </c>
      <c r="F33" s="885" t="s">
        <v>589</v>
      </c>
      <c r="G33" s="886"/>
      <c r="H33" s="878"/>
      <c r="I33" s="878"/>
    </row>
    <row r="34" spans="1:9" s="887" customFormat="1" ht="19.5" customHeight="1">
      <c r="A34" s="3310"/>
      <c r="B34" s="882" t="s">
        <v>563</v>
      </c>
      <c r="C34" s="883" t="s">
        <v>590</v>
      </c>
      <c r="D34" s="884"/>
      <c r="E34" s="882">
        <v>1.5</v>
      </c>
      <c r="F34" s="885" t="s">
        <v>591</v>
      </c>
      <c r="G34" s="886"/>
      <c r="H34" s="878"/>
      <c r="I34" s="878"/>
    </row>
    <row r="35" spans="1:9" s="887" customFormat="1" ht="19.5" customHeight="1">
      <c r="A35" s="3310" t="s">
        <v>186</v>
      </c>
      <c r="B35" s="882" t="s">
        <v>560</v>
      </c>
      <c r="C35" s="883" t="s">
        <v>592</v>
      </c>
      <c r="D35" s="884"/>
      <c r="E35" s="882">
        <v>1</v>
      </c>
      <c r="F35" s="885" t="s">
        <v>593</v>
      </c>
      <c r="G35" s="886"/>
      <c r="H35" s="878"/>
      <c r="I35" s="878"/>
    </row>
    <row r="36" spans="1:9" s="887" customFormat="1" ht="19.5" customHeight="1">
      <c r="A36" s="3310"/>
      <c r="B36" s="3310" t="s">
        <v>563</v>
      </c>
      <c r="C36" s="883" t="s">
        <v>594</v>
      </c>
      <c r="D36" s="884"/>
      <c r="E36" s="882">
        <v>1</v>
      </c>
      <c r="F36" s="885" t="s">
        <v>595</v>
      </c>
      <c r="G36" s="886"/>
      <c r="H36" s="878"/>
      <c r="I36" s="878"/>
    </row>
    <row r="37" spans="1:9" s="887" customFormat="1" ht="19.5" customHeight="1">
      <c r="A37" s="3310"/>
      <c r="B37" s="3310"/>
      <c r="C37" s="883" t="s">
        <v>596</v>
      </c>
      <c r="D37" s="884"/>
      <c r="E37" s="882">
        <v>1.5</v>
      </c>
      <c r="F37" s="885" t="s">
        <v>597</v>
      </c>
      <c r="G37" s="886"/>
      <c r="H37" s="878"/>
      <c r="I37" s="878"/>
    </row>
    <row r="38" spans="1:9" s="887" customFormat="1" ht="19.5" customHeight="1">
      <c r="A38" s="3310"/>
      <c r="B38" s="3310"/>
      <c r="C38" s="883" t="s">
        <v>598</v>
      </c>
      <c r="D38" s="884"/>
      <c r="E38" s="882">
        <v>1</v>
      </c>
      <c r="F38" s="885" t="s">
        <v>599</v>
      </c>
      <c r="G38" s="886"/>
      <c r="H38" s="878"/>
      <c r="I38" s="878"/>
    </row>
    <row r="39" spans="1:9" s="887" customFormat="1" ht="19.5" customHeight="1">
      <c r="A39" s="3310"/>
      <c r="B39" s="331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0" t="s">
        <v>614</v>
      </c>
      <c r="C61" s="818" t="s">
        <v>615</v>
      </c>
      <c r="D61" s="818" t="s">
        <v>616</v>
      </c>
      <c r="E61" s="895">
        <v>0.5</v>
      </c>
      <c r="F61" s="882">
        <v>80</v>
      </c>
    </row>
    <row r="62" spans="1:8" s="878" customFormat="1" ht="24">
      <c r="A62" s="882">
        <v>2</v>
      </c>
      <c r="B62" s="3310"/>
      <c r="C62" s="818" t="s">
        <v>617</v>
      </c>
      <c r="D62" s="818" t="s">
        <v>618</v>
      </c>
      <c r="E62" s="895">
        <v>0.5</v>
      </c>
      <c r="F62" s="882">
        <v>80</v>
      </c>
    </row>
    <row r="63" spans="1:8" s="878" customFormat="1" ht="36">
      <c r="A63" s="882">
        <v>3</v>
      </c>
      <c r="B63" s="3310"/>
      <c r="C63" s="818" t="s">
        <v>619</v>
      </c>
      <c r="D63" s="818" t="s">
        <v>620</v>
      </c>
      <c r="E63" s="895">
        <v>0.5</v>
      </c>
      <c r="F63" s="882">
        <v>80</v>
      </c>
    </row>
    <row r="64" spans="1:8" s="878" customFormat="1" ht="36">
      <c r="A64" s="882">
        <v>4</v>
      </c>
      <c r="B64" s="3310"/>
      <c r="C64" s="818" t="s">
        <v>621</v>
      </c>
      <c r="D64" s="818" t="s">
        <v>622</v>
      </c>
      <c r="E64" s="895">
        <v>0.4</v>
      </c>
      <c r="F64" s="882">
        <v>60</v>
      </c>
    </row>
    <row r="65" spans="1:6" s="878" customFormat="1" ht="36">
      <c r="A65" s="882">
        <v>5</v>
      </c>
      <c r="B65" s="3310"/>
      <c r="C65" s="818" t="s">
        <v>623</v>
      </c>
      <c r="D65" s="818" t="s">
        <v>624</v>
      </c>
      <c r="E65" s="895">
        <v>0.2</v>
      </c>
      <c r="F65" s="882">
        <v>30</v>
      </c>
    </row>
    <row r="66" spans="1:6" s="878" customFormat="1" ht="36">
      <c r="A66" s="882">
        <v>6</v>
      </c>
      <c r="B66" s="3310"/>
      <c r="C66" s="818" t="s">
        <v>625</v>
      </c>
      <c r="D66" s="818" t="s">
        <v>626</v>
      </c>
      <c r="E66" s="895">
        <v>0.3</v>
      </c>
      <c r="F66" s="882">
        <v>50</v>
      </c>
    </row>
    <row r="67" spans="1:6" s="878" customFormat="1" ht="36">
      <c r="A67" s="882">
        <v>7</v>
      </c>
      <c r="B67" s="3310"/>
      <c r="C67" s="818" t="s">
        <v>627</v>
      </c>
      <c r="D67" s="818" t="s">
        <v>628</v>
      </c>
      <c r="E67" s="895">
        <v>0.2</v>
      </c>
      <c r="F67" s="882">
        <v>30</v>
      </c>
    </row>
    <row r="68" spans="1:6" s="878" customFormat="1" ht="36">
      <c r="A68" s="882">
        <v>8</v>
      </c>
      <c r="B68" s="3310"/>
      <c r="C68" s="818" t="s">
        <v>629</v>
      </c>
      <c r="D68" s="818" t="s">
        <v>630</v>
      </c>
      <c r="E68" s="895">
        <v>0.2</v>
      </c>
      <c r="F68" s="882">
        <v>30</v>
      </c>
    </row>
    <row r="69" spans="1:6" s="878" customFormat="1" ht="36">
      <c r="A69" s="882">
        <v>9</v>
      </c>
      <c r="B69" s="3310"/>
      <c r="C69" s="818" t="s">
        <v>631</v>
      </c>
      <c r="D69" s="818" t="s">
        <v>632</v>
      </c>
      <c r="E69" s="895">
        <v>0.2</v>
      </c>
      <c r="F69" s="882">
        <v>30</v>
      </c>
    </row>
    <row r="70" spans="1:6" s="878" customFormat="1" ht="48">
      <c r="A70" s="882">
        <v>10</v>
      </c>
      <c r="B70" s="3310"/>
      <c r="C70" s="818" t="s">
        <v>633</v>
      </c>
      <c r="D70" s="818" t="s">
        <v>634</v>
      </c>
      <c r="E70" s="895">
        <v>0.2</v>
      </c>
      <c r="F70" s="882">
        <v>30</v>
      </c>
    </row>
    <row r="71" spans="1:6" s="878" customFormat="1" ht="48">
      <c r="A71" s="882">
        <v>11</v>
      </c>
      <c r="B71" s="3310"/>
      <c r="C71" s="818" t="s">
        <v>635</v>
      </c>
      <c r="D71" s="818" t="s">
        <v>636</v>
      </c>
      <c r="E71" s="895">
        <v>0.2</v>
      </c>
      <c r="F71" s="882">
        <v>30</v>
      </c>
    </row>
    <row r="72" spans="1:6" s="878" customFormat="1" ht="36">
      <c r="A72" s="882">
        <v>12</v>
      </c>
      <c r="B72" s="3310"/>
      <c r="C72" s="818" t="s">
        <v>637</v>
      </c>
      <c r="D72" s="818" t="s">
        <v>638</v>
      </c>
      <c r="E72" s="895">
        <v>0.5</v>
      </c>
      <c r="F72" s="882">
        <v>80</v>
      </c>
    </row>
    <row r="73" spans="1:6" s="878" customFormat="1" ht="24">
      <c r="A73" s="882">
        <v>13</v>
      </c>
      <c r="B73" s="3310"/>
      <c r="C73" s="818" t="s">
        <v>639</v>
      </c>
      <c r="D73" s="818" t="s">
        <v>640</v>
      </c>
      <c r="E73" s="895">
        <v>0.4</v>
      </c>
      <c r="F73" s="882">
        <v>60</v>
      </c>
    </row>
    <row r="74" spans="1:6" s="878" customFormat="1" ht="24">
      <c r="A74" s="882">
        <v>14</v>
      </c>
      <c r="B74" s="3310"/>
      <c r="C74" s="818" t="s">
        <v>641</v>
      </c>
      <c r="D74" s="818" t="s">
        <v>642</v>
      </c>
      <c r="E74" s="895">
        <v>0.2</v>
      </c>
      <c r="F74" s="882">
        <v>30</v>
      </c>
    </row>
    <row r="75" spans="1:6" s="878" customFormat="1" ht="24">
      <c r="A75" s="882">
        <v>15</v>
      </c>
      <c r="B75" s="3310"/>
      <c r="C75" s="818" t="s">
        <v>643</v>
      </c>
      <c r="D75" s="818" t="s">
        <v>644</v>
      </c>
      <c r="E75" s="895">
        <v>0.2</v>
      </c>
      <c r="F75" s="882">
        <v>30</v>
      </c>
    </row>
    <row r="76" spans="1:6" s="878" customFormat="1" ht="24">
      <c r="A76" s="882">
        <v>16</v>
      </c>
      <c r="B76" s="3310" t="s">
        <v>645</v>
      </c>
      <c r="C76" s="818" t="s">
        <v>646</v>
      </c>
      <c r="D76" s="818" t="s">
        <v>647</v>
      </c>
      <c r="E76" s="895">
        <v>0.5</v>
      </c>
      <c r="F76" s="882">
        <v>80</v>
      </c>
    </row>
    <row r="77" spans="1:6" s="878" customFormat="1" ht="24">
      <c r="A77" s="882">
        <v>17</v>
      </c>
      <c r="B77" s="3310"/>
      <c r="C77" s="818" t="s">
        <v>648</v>
      </c>
      <c r="D77" s="818" t="s">
        <v>649</v>
      </c>
      <c r="E77" s="895">
        <v>0.5</v>
      </c>
      <c r="F77" s="882">
        <v>80</v>
      </c>
    </row>
    <row r="78" spans="1:6" s="878" customFormat="1" ht="24">
      <c r="A78" s="882">
        <v>18</v>
      </c>
      <c r="B78" s="3310"/>
      <c r="C78" s="818" t="s">
        <v>650</v>
      </c>
      <c r="D78" s="818" t="s">
        <v>651</v>
      </c>
      <c r="E78" s="895">
        <v>0.2</v>
      </c>
      <c r="F78" s="882">
        <v>30</v>
      </c>
    </row>
    <row r="79" spans="1:6" s="878" customFormat="1" ht="24">
      <c r="A79" s="882">
        <v>19</v>
      </c>
      <c r="B79" s="3310"/>
      <c r="C79" s="818" t="s">
        <v>652</v>
      </c>
      <c r="D79" s="818" t="s">
        <v>653</v>
      </c>
      <c r="E79" s="895">
        <v>0.5</v>
      </c>
      <c r="F79" s="882">
        <v>80</v>
      </c>
    </row>
    <row r="80" spans="1:6" s="878" customFormat="1" ht="36">
      <c r="A80" s="882">
        <v>20</v>
      </c>
      <c r="B80" s="3310"/>
      <c r="C80" s="818" t="s">
        <v>654</v>
      </c>
      <c r="D80" s="818" t="s">
        <v>655</v>
      </c>
      <c r="E80" s="895">
        <v>0.2</v>
      </c>
      <c r="F80" s="882">
        <v>30</v>
      </c>
    </row>
    <row r="81" spans="1:6" s="878" customFormat="1" ht="36">
      <c r="A81" s="882">
        <v>21</v>
      </c>
      <c r="B81" s="3310"/>
      <c r="C81" s="818" t="s">
        <v>656</v>
      </c>
      <c r="D81" s="818" t="s">
        <v>657</v>
      </c>
      <c r="E81" s="895">
        <v>0.2</v>
      </c>
      <c r="F81" s="882">
        <v>30</v>
      </c>
    </row>
    <row r="82" spans="1:6" s="878" customFormat="1" ht="48">
      <c r="A82" s="882">
        <v>22</v>
      </c>
      <c r="B82" s="3310"/>
      <c r="C82" s="818" t="s">
        <v>658</v>
      </c>
      <c r="D82" s="818" t="s">
        <v>659</v>
      </c>
      <c r="E82" s="895">
        <v>0.2</v>
      </c>
      <c r="F82" s="882">
        <v>30</v>
      </c>
    </row>
    <row r="83" spans="1:6" s="878" customFormat="1" ht="48">
      <c r="A83" s="882">
        <v>23</v>
      </c>
      <c r="B83" s="3310"/>
      <c r="C83" s="818" t="s">
        <v>660</v>
      </c>
      <c r="D83" s="818" t="s">
        <v>661</v>
      </c>
      <c r="E83" s="895">
        <v>0.2</v>
      </c>
      <c r="F83" s="882">
        <v>30</v>
      </c>
    </row>
    <row r="84" spans="1:6" s="878" customFormat="1" ht="36">
      <c r="A84" s="882">
        <v>24</v>
      </c>
      <c r="B84" s="3310"/>
      <c r="C84" s="818" t="s">
        <v>662</v>
      </c>
      <c r="D84" s="818" t="s">
        <v>663</v>
      </c>
      <c r="E84" s="895">
        <v>0.2</v>
      </c>
      <c r="F84" s="882">
        <v>30</v>
      </c>
    </row>
    <row r="85" spans="1:6" s="878" customFormat="1" ht="36">
      <c r="A85" s="882">
        <v>25</v>
      </c>
      <c r="B85" s="3310"/>
      <c r="C85" s="818" t="s">
        <v>664</v>
      </c>
      <c r="D85" s="818" t="s">
        <v>665</v>
      </c>
      <c r="E85" s="895">
        <v>0.5</v>
      </c>
      <c r="F85" s="882">
        <v>80</v>
      </c>
    </row>
    <row r="86" spans="1:6" s="878" customFormat="1" ht="36">
      <c r="A86" s="882">
        <v>26</v>
      </c>
      <c r="B86" s="3310"/>
      <c r="C86" s="818" t="s">
        <v>666</v>
      </c>
      <c r="D86" s="818" t="s">
        <v>667</v>
      </c>
      <c r="E86" s="895">
        <v>0.2</v>
      </c>
      <c r="F86" s="882">
        <v>30</v>
      </c>
    </row>
    <row r="87" spans="1:6" s="878" customFormat="1" ht="36">
      <c r="A87" s="882">
        <v>27</v>
      </c>
      <c r="B87" s="3310"/>
      <c r="C87" s="818" t="s">
        <v>668</v>
      </c>
      <c r="D87" s="818" t="s">
        <v>669</v>
      </c>
      <c r="E87" s="895">
        <v>0.2</v>
      </c>
      <c r="F87" s="882">
        <v>30</v>
      </c>
    </row>
    <row r="88" spans="1:6" s="878" customFormat="1" ht="36">
      <c r="A88" s="882">
        <v>28</v>
      </c>
      <c r="B88" s="3310"/>
      <c r="C88" s="818" t="s">
        <v>670</v>
      </c>
      <c r="D88" s="818" t="s">
        <v>671</v>
      </c>
      <c r="E88" s="895">
        <v>0.2</v>
      </c>
      <c r="F88" s="882">
        <v>30</v>
      </c>
    </row>
    <row r="89" spans="1:6" s="878" customFormat="1" ht="24">
      <c r="A89" s="882">
        <v>29</v>
      </c>
      <c r="B89" s="3310"/>
      <c r="C89" s="818" t="s">
        <v>672</v>
      </c>
      <c r="D89" s="818" t="s">
        <v>673</v>
      </c>
      <c r="E89" s="895">
        <v>0.2</v>
      </c>
      <c r="F89" s="882">
        <v>30</v>
      </c>
    </row>
    <row r="90" spans="1:6" s="878" customFormat="1" ht="24">
      <c r="A90" s="882">
        <v>30</v>
      </c>
      <c r="B90" s="3310"/>
      <c r="C90" s="818" t="s">
        <v>674</v>
      </c>
      <c r="D90" s="818" t="s">
        <v>675</v>
      </c>
      <c r="E90" s="895">
        <v>0.2</v>
      </c>
      <c r="F90" s="882">
        <v>30</v>
      </c>
    </row>
    <row r="91" spans="1:6" s="878" customFormat="1" ht="36">
      <c r="A91" s="882">
        <v>31</v>
      </c>
      <c r="B91" s="3310"/>
      <c r="C91" s="818" t="s">
        <v>676</v>
      </c>
      <c r="D91" s="818" t="s">
        <v>677</v>
      </c>
      <c r="E91" s="895">
        <v>0.2</v>
      </c>
      <c r="F91" s="882">
        <v>30</v>
      </c>
    </row>
    <row r="92" spans="1:6" s="878" customFormat="1" ht="24">
      <c r="A92" s="882">
        <v>32</v>
      </c>
      <c r="B92" s="3310" t="s">
        <v>678</v>
      </c>
      <c r="C92" s="882" t="s">
        <v>679</v>
      </c>
      <c r="D92" s="818" t="s">
        <v>680</v>
      </c>
      <c r="E92" s="895">
        <v>0.2</v>
      </c>
      <c r="F92" s="882">
        <v>30</v>
      </c>
    </row>
    <row r="93" spans="1:6" s="878" customFormat="1" ht="36">
      <c r="A93" s="882">
        <v>33</v>
      </c>
      <c r="B93" s="3310"/>
      <c r="C93" s="882" t="s">
        <v>681</v>
      </c>
      <c r="D93" s="818" t="s">
        <v>682</v>
      </c>
      <c r="E93" s="895">
        <v>0.2</v>
      </c>
      <c r="F93" s="882">
        <v>30</v>
      </c>
    </row>
    <row r="94" spans="1:6" s="878" customFormat="1" ht="48">
      <c r="A94" s="882">
        <v>34</v>
      </c>
      <c r="B94" s="3310"/>
      <c r="C94" s="882" t="s">
        <v>683</v>
      </c>
      <c r="D94" s="818" t="s">
        <v>684</v>
      </c>
      <c r="E94" s="895">
        <v>0.2</v>
      </c>
      <c r="F94" s="882">
        <v>30</v>
      </c>
    </row>
    <row r="95" spans="1:6" s="878" customFormat="1" ht="36">
      <c r="A95" s="882">
        <v>35</v>
      </c>
      <c r="B95" s="3310"/>
      <c r="C95" s="882" t="s">
        <v>685</v>
      </c>
      <c r="D95" s="818" t="s">
        <v>686</v>
      </c>
      <c r="E95" s="895">
        <v>0.2</v>
      </c>
      <c r="F95" s="882">
        <v>30</v>
      </c>
    </row>
    <row r="96" spans="1:6" s="878" customFormat="1" ht="48">
      <c r="A96" s="882">
        <v>36</v>
      </c>
      <c r="B96" s="3310"/>
      <c r="C96" s="818" t="s">
        <v>687</v>
      </c>
      <c r="D96" s="818" t="s">
        <v>688</v>
      </c>
      <c r="E96" s="895">
        <v>0.2</v>
      </c>
      <c r="F96" s="882">
        <v>30</v>
      </c>
    </row>
    <row r="97" spans="1:6" s="878" customFormat="1" ht="36">
      <c r="A97" s="882">
        <v>37</v>
      </c>
      <c r="B97" s="3310"/>
      <c r="C97" s="882" t="s">
        <v>689</v>
      </c>
      <c r="D97" s="818" t="s">
        <v>690</v>
      </c>
      <c r="E97" s="895">
        <v>0.2</v>
      </c>
      <c r="F97" s="882">
        <v>30</v>
      </c>
    </row>
    <row r="98" spans="1:6" s="878" customFormat="1" ht="36">
      <c r="A98" s="882">
        <v>38</v>
      </c>
      <c r="B98" s="3310"/>
      <c r="C98" s="882" t="s">
        <v>691</v>
      </c>
      <c r="D98" s="818" t="s">
        <v>692</v>
      </c>
      <c r="E98" s="895">
        <v>0.2</v>
      </c>
      <c r="F98" s="882">
        <v>30</v>
      </c>
    </row>
    <row r="99" spans="1:6" s="878" customFormat="1" ht="36">
      <c r="A99" s="882">
        <v>39</v>
      </c>
      <c r="B99" s="3310" t="s">
        <v>693</v>
      </c>
      <c r="C99" s="882" t="s">
        <v>694</v>
      </c>
      <c r="D99" s="818" t="s">
        <v>695</v>
      </c>
      <c r="E99" s="895">
        <v>0.3</v>
      </c>
      <c r="F99" s="882">
        <v>50</v>
      </c>
    </row>
    <row r="100" spans="1:6" s="878" customFormat="1" ht="24">
      <c r="A100" s="882">
        <v>40</v>
      </c>
      <c r="B100" s="3310"/>
      <c r="C100" s="882" t="s">
        <v>696</v>
      </c>
      <c r="D100" s="818" t="s">
        <v>697</v>
      </c>
      <c r="E100" s="895">
        <v>0.2</v>
      </c>
      <c r="F100" s="882">
        <v>30</v>
      </c>
    </row>
    <row r="101" spans="1:6" s="878" customFormat="1" ht="36">
      <c r="A101" s="882">
        <v>41</v>
      </c>
      <c r="B101" s="331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0" t="s">
        <v>708</v>
      </c>
      <c r="C105" s="882" t="s">
        <v>709</v>
      </c>
      <c r="D105" s="818" t="s">
        <v>710</v>
      </c>
      <c r="E105" s="895">
        <v>0.2</v>
      </c>
      <c r="F105" s="882">
        <v>30</v>
      </c>
    </row>
    <row r="106" spans="1:6" s="878" customFormat="1" ht="36">
      <c r="A106" s="882">
        <v>46</v>
      </c>
      <c r="B106" s="3310"/>
      <c r="C106" s="882" t="s">
        <v>711</v>
      </c>
      <c r="D106" s="818" t="s">
        <v>712</v>
      </c>
      <c r="E106" s="895">
        <v>0.2</v>
      </c>
      <c r="F106" s="882">
        <v>30</v>
      </c>
    </row>
    <row r="107" spans="1:6" s="878" customFormat="1" ht="36">
      <c r="A107" s="882">
        <v>47</v>
      </c>
      <c r="B107" s="3310" t="s">
        <v>713</v>
      </c>
      <c r="C107" s="882" t="s">
        <v>714</v>
      </c>
      <c r="D107" s="818" t="s">
        <v>715</v>
      </c>
      <c r="E107" s="895">
        <v>0.3</v>
      </c>
      <c r="F107" s="882">
        <v>50</v>
      </c>
    </row>
    <row r="108" spans="1:6" s="878" customFormat="1" ht="36">
      <c r="A108" s="882">
        <v>48</v>
      </c>
      <c r="B108" s="331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0" t="s">
        <v>724</v>
      </c>
      <c r="C111" s="882" t="s">
        <v>725</v>
      </c>
      <c r="D111" s="818" t="s">
        <v>726</v>
      </c>
      <c r="E111" s="895">
        <v>0.2</v>
      </c>
      <c r="F111" s="882">
        <v>30</v>
      </c>
    </row>
    <row r="112" spans="1:6" s="878" customFormat="1" ht="24">
      <c r="A112" s="882">
        <v>52</v>
      </c>
      <c r="B112" s="3310"/>
      <c r="C112" s="882" t="s">
        <v>727</v>
      </c>
      <c r="D112" s="818" t="s">
        <v>728</v>
      </c>
      <c r="E112" s="895">
        <v>0.2</v>
      </c>
      <c r="F112" s="882">
        <v>30</v>
      </c>
    </row>
    <row r="113" spans="1:6" s="878" customFormat="1" ht="24">
      <c r="A113" s="882">
        <v>53</v>
      </c>
      <c r="B113" s="331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0" t="s">
        <v>737</v>
      </c>
      <c r="C116" s="882" t="s">
        <v>738</v>
      </c>
      <c r="D116" s="818" t="s">
        <v>739</v>
      </c>
      <c r="E116" s="895">
        <v>0.2</v>
      </c>
      <c r="F116" s="882">
        <v>30</v>
      </c>
    </row>
    <row r="117" spans="1:6" ht="36">
      <c r="A117" s="882">
        <v>57</v>
      </c>
      <c r="B117" s="331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3" t="s">
        <v>2995</v>
      </c>
      <c r="B2" s="2914" t="e">
        <f ca="1">SUMIF(B6:B13,"&lt;&gt;#ref!",B6:B13)</f>
        <v>#DIV/0!</v>
      </c>
      <c r="C2" s="2913" t="s">
        <v>2996</v>
      </c>
      <c r="D2" s="2913" t="s">
        <v>2997</v>
      </c>
      <c r="E2" s="2914" t="e">
        <f ca="1">SUM(E6:E13)</f>
        <v>#REF!</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估价结果一览表（市场价值不需“结果表-1”）</v>
      </c>
      <c r="B3" s="3008"/>
      <c r="C3" s="3008"/>
      <c r="D3" s="3008"/>
      <c r="E3" s="3008"/>
    </row>
    <row r="4" spans="1:5" ht="19.5" thickBot="1">
      <c r="A4" s="1964"/>
      <c r="B4" s="3006" t="s">
        <v>1630</v>
      </c>
      <c r="C4" s="3006"/>
      <c r="D4" s="3006"/>
      <c r="E4" s="1964"/>
    </row>
    <row r="5" spans="1:5" ht="16.5" thickTop="1">
      <c r="A5" s="1962"/>
      <c r="B5" s="3004" t="s">
        <v>1622</v>
      </c>
      <c r="C5" s="1965" t="s">
        <v>1623</v>
      </c>
      <c r="D5" s="1043">
        <f ca="1">结果表!H101</f>
        <v>789</v>
      </c>
      <c r="E5" s="1962"/>
    </row>
    <row r="6" spans="1:5" ht="15.75">
      <c r="A6" s="1962"/>
      <c r="B6" s="3004"/>
      <c r="C6" s="1965" t="s">
        <v>1624</v>
      </c>
      <c r="D6" s="1043" t="str">
        <f ca="1">NUMBERSTRING(INT(D5*10000),2)&amp;"元整"</f>
        <v>柒佰捌拾玖万元整</v>
      </c>
      <c r="E6" s="1962"/>
    </row>
    <row r="7" spans="1:5" ht="15.75">
      <c r="A7" s="1962"/>
      <c r="B7" s="3009"/>
      <c r="C7" s="1966" t="s">
        <v>1625</v>
      </c>
      <c r="D7" s="1044">
        <f ca="1">结果表!H102</f>
        <v>22551</v>
      </c>
      <c r="E7" s="1962"/>
    </row>
    <row r="8" spans="1:5" ht="15.75">
      <c r="A8" s="1962"/>
      <c r="B8" s="3010" t="str">
        <f>结果表!E103</f>
        <v>2.估价师知悉的法定优先受偿款</v>
      </c>
      <c r="C8" s="1967" t="s">
        <v>1626</v>
      </c>
      <c r="D8" s="1044">
        <f>结果表!H103</f>
        <v>0</v>
      </c>
      <c r="E8" s="1962"/>
    </row>
    <row r="9" spans="1:5" ht="15.75">
      <c r="A9" s="1962"/>
      <c r="B9" s="301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3" t="str">
        <f>结果表!E107</f>
        <v>3.房地产抵押价值</v>
      </c>
      <c r="C13" s="1970" t="s">
        <v>1623</v>
      </c>
      <c r="D13" s="1046">
        <f ca="1">结果表!H107</f>
        <v>789</v>
      </c>
      <c r="E13" s="1962"/>
    </row>
    <row r="14" spans="1:5" ht="15.75">
      <c r="A14" s="1962"/>
      <c r="B14" s="3004"/>
      <c r="C14" s="1965" t="s">
        <v>1624</v>
      </c>
      <c r="D14" s="1043" t="str">
        <f ca="1">NUMBERSTRING(INT(D13*10000),2)&amp;"元整"</f>
        <v>柒佰捌拾玖万元整</v>
      </c>
      <c r="E14" s="1962"/>
    </row>
    <row r="15" spans="1:5" ht="15">
      <c r="A15" s="1962"/>
      <c r="B15" s="3009"/>
      <c r="C15" s="1966" t="s">
        <v>1634</v>
      </c>
      <c r="D15" s="1055">
        <f ca="1">结果表!H108</f>
        <v>2983</v>
      </c>
      <c r="E15" s="1962"/>
    </row>
    <row r="16" spans="1:5" ht="15">
      <c r="A16" s="1962"/>
      <c r="B16" s="3010" t="str">
        <f>结果表!E109</f>
        <v>——</v>
      </c>
      <c r="C16" s="1970" t="s">
        <v>1635</v>
      </c>
      <c r="D16" s="1971" t="str">
        <f>结果表!H109</f>
        <v>——</v>
      </c>
      <c r="E16" s="1962"/>
    </row>
    <row r="17" spans="1:5" ht="15.75">
      <c r="A17" s="1962"/>
      <c r="B17" s="3011"/>
      <c r="C17" s="1965" t="s">
        <v>1636</v>
      </c>
      <c r="D17" s="1043" t="e">
        <f>NUMBERSTRING(INT(D16*10000),2)&amp;"元整"</f>
        <v>#VALUE!</v>
      </c>
      <c r="E17" s="1962"/>
    </row>
    <row r="18" spans="1:5" ht="15">
      <c r="A18" s="1962"/>
      <c r="B18" s="3012"/>
      <c r="C18" s="1966" t="s">
        <v>1625</v>
      </c>
      <c r="D18" s="1055" t="str">
        <f>结果表!H110</f>
        <v>——</v>
      </c>
      <c r="E18" s="1962"/>
    </row>
    <row r="19" spans="1:5" ht="15.75">
      <c r="A19" s="1962"/>
      <c r="B19" s="3003" t="str">
        <f>结果表!E111</f>
        <v>——</v>
      </c>
      <c r="C19" s="1970" t="s">
        <v>1623</v>
      </c>
      <c r="D19" s="1044" t="str">
        <f>结果表!H111</f>
        <v>——</v>
      </c>
      <c r="E19" s="1962"/>
    </row>
    <row r="20" spans="1:5" ht="15.75">
      <c r="A20" s="1962"/>
      <c r="B20" s="3004"/>
      <c r="C20" s="1965" t="s">
        <v>1636</v>
      </c>
      <c r="D20" s="1043" t="e">
        <f>NUMBERSTRING(INT(D19*10000),2)&amp;"元整"</f>
        <v>#VALUE!</v>
      </c>
      <c r="E20" s="1962"/>
    </row>
    <row r="21" spans="1:5" ht="15.75" thickBot="1">
      <c r="A21" s="1962"/>
      <c r="B21" s="300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6" t="s">
        <v>1150</v>
      </c>
      <c r="C1" s="3316"/>
      <c r="D1" s="3316"/>
      <c r="E1" s="3316"/>
      <c r="F1" s="3316"/>
      <c r="G1" s="3315" t="s">
        <v>1151</v>
      </c>
      <c r="H1" s="3315"/>
      <c r="I1" s="3315"/>
      <c r="J1" s="3315"/>
      <c r="K1" s="3315"/>
      <c r="L1" s="3315"/>
      <c r="N1" s="3315" t="s">
        <v>1152</v>
      </c>
      <c r="O1" s="3315"/>
      <c r="P1" s="3315"/>
      <c r="Q1" s="3315"/>
      <c r="R1" s="1449"/>
      <c r="S1" s="3315" t="s">
        <v>1153</v>
      </c>
      <c r="T1" s="3315"/>
      <c r="U1" s="3315"/>
      <c r="V1" s="3315"/>
      <c r="X1" s="3314" t="s">
        <v>1154</v>
      </c>
      <c r="Y1" s="3315"/>
      <c r="Z1" s="3315"/>
      <c r="AA1" s="3315"/>
      <c r="AB1" s="3315"/>
      <c r="AD1" s="3314" t="s">
        <v>1155</v>
      </c>
      <c r="AE1" s="3315"/>
      <c r="AF1" s="3315"/>
      <c r="AG1" s="3315"/>
      <c r="AH1" s="331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3036</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3037</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3035</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3032</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3033</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17">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312"/>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312"/>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313"/>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311">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312"/>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312"/>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313"/>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311">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312"/>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312"/>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313"/>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18">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19"/>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19"/>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20"/>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311">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312"/>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312"/>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313"/>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311">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312">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312">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313">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311">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312">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312">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313">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311">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312">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312">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313">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311">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312">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312">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313">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311">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312">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312">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313">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311">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312">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312">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313">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311">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312">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312">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313">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311">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312">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312">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313">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311">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312">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312">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313">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311">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312">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312">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313">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D18" sqref="D1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22" t="s">
        <v>3006</v>
      </c>
      <c r="D1" s="3323"/>
      <c r="E1" s="3323"/>
      <c r="F1" s="3323"/>
      <c r="G1" s="3323"/>
      <c r="H1" s="3323"/>
      <c r="I1" s="3323"/>
      <c r="J1" s="3323"/>
      <c r="K1" s="3323"/>
      <c r="L1" s="3323"/>
      <c r="M1" s="3323"/>
      <c r="N1" s="3323"/>
      <c r="O1" s="3323"/>
      <c r="P1" s="3323"/>
      <c r="Q1" s="3323"/>
      <c r="R1" s="3323"/>
      <c r="S1" s="3324"/>
      <c r="T1" s="1207" t="s">
        <v>3007</v>
      </c>
    </row>
    <row r="2" spans="1:45" s="707" customFormat="1" ht="38.25">
      <c r="A2" s="1208"/>
      <c r="B2" s="703" t="s">
        <v>3008</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1500(含)-1800</v>
      </c>
      <c r="I2" s="705" t="str">
        <f t="shared" si="0"/>
        <v>1800(含)-2100</v>
      </c>
      <c r="J2" s="705" t="str">
        <f t="shared" si="0"/>
        <v>2100(含)-2400</v>
      </c>
      <c r="K2" s="705" t="str">
        <f t="shared" si="0"/>
        <v>2400(含)-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7">
        <v>900</v>
      </c>
      <c r="G3" s="1707">
        <v>1200</v>
      </c>
      <c r="H3" s="1707">
        <v>1500</v>
      </c>
      <c r="I3" s="1707">
        <v>1800</v>
      </c>
      <c r="J3" s="1707">
        <v>2100</v>
      </c>
      <c r="K3" s="1707">
        <v>2400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v>88</v>
      </c>
      <c r="J4" s="1711">
        <v>86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v>1</v>
      </c>
      <c r="D17" s="1235">
        <v>2</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40</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5"/>
      <c r="F19" s="1795"/>
      <c r="G19" s="1795"/>
      <c r="H19" s="1283"/>
      <c r="I19" s="168"/>
      <c r="J19" s="168"/>
      <c r="K19" s="168"/>
      <c r="L19" s="168"/>
      <c r="M19" s="168"/>
      <c r="N19" s="168"/>
      <c r="O19" s="168"/>
      <c r="P19" s="168"/>
      <c r="Q19" s="168"/>
      <c r="R19" s="788"/>
      <c r="S19" s="138"/>
    </row>
    <row r="20" spans="1:45" ht="16.5" thickBot="1">
      <c r="A20" s="715" t="s">
        <v>3018</v>
      </c>
      <c r="B20" s="338">
        <f ca="1">IF(D20="——",S22,S22-F20)</f>
        <v>2611</v>
      </c>
      <c r="C20" s="168"/>
      <c r="D20" s="2922" t="s">
        <v>70</v>
      </c>
      <c r="E20" s="1796"/>
      <c r="F20" s="1207" t="e">
        <f ca="1">SUMIF(INDIRECT("'"&amp;H20&amp;"'"&amp;"!A:A"),"承租人权益价值",INDIRECT("'"&amp;H20&amp;"'"&amp;"!c:c"))</f>
        <v>#REF!</v>
      </c>
      <c r="G20" s="1207" t="s">
        <v>3019</v>
      </c>
      <c r="H20" s="2923"/>
      <c r="I20" s="168"/>
      <c r="J20" s="168"/>
      <c r="K20" s="168"/>
      <c r="L20" s="168"/>
      <c r="M20" s="168"/>
      <c r="N20" s="168"/>
      <c r="O20" s="168"/>
      <c r="P20" s="168"/>
      <c r="Q20" s="168"/>
      <c r="R20" s="788"/>
      <c r="S20" s="138"/>
    </row>
    <row r="21" spans="1:45" ht="15.75">
      <c r="A21" s="715" t="s">
        <v>3020</v>
      </c>
      <c r="B21" s="338">
        <f ca="1">R22</f>
        <v>9873</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2644.5600000000004</v>
      </c>
      <c r="C22" s="3183" t="s">
        <v>33</v>
      </c>
      <c r="D22" s="3184"/>
      <c r="E22" s="3184"/>
      <c r="F22" s="3184"/>
      <c r="G22" s="3184"/>
      <c r="H22" s="3184"/>
      <c r="I22" s="3184"/>
      <c r="J22" s="3184"/>
      <c r="K22" s="3184"/>
      <c r="L22" s="3184"/>
      <c r="M22" s="3184"/>
      <c r="N22" s="3184"/>
      <c r="O22" s="3184"/>
      <c r="P22" s="3184"/>
      <c r="Q22" s="3321"/>
      <c r="R22" s="716">
        <f ca="1">ROUND(S22*10000/B22,0)</f>
        <v>9873</v>
      </c>
      <c r="S22" s="24">
        <f ca="1">SUM(S24:S10000)</f>
        <v>2611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1层</v>
      </c>
      <c r="B24" s="718">
        <f>'数据-基础表'!I13</f>
        <v>349.87</v>
      </c>
      <c r="C24" s="719">
        <v>1</v>
      </c>
      <c r="D24" s="720"/>
      <c r="E24" s="719">
        <v>1</v>
      </c>
      <c r="F24" s="720"/>
      <c r="G24" s="719">
        <v>1</v>
      </c>
      <c r="H24" s="720"/>
      <c r="I24" s="719">
        <v>1</v>
      </c>
      <c r="J24" s="720"/>
      <c r="K24" s="719">
        <v>1</v>
      </c>
      <c r="L24" s="720"/>
      <c r="M24" s="719">
        <v>1</v>
      </c>
      <c r="N24" s="720"/>
      <c r="O24" s="719">
        <v>1</v>
      </c>
      <c r="P24" s="720">
        <v>1</v>
      </c>
      <c r="Q24" s="719">
        <v>1</v>
      </c>
      <c r="R24" s="721">
        <f ca="1">结果表!G20</f>
        <v>22558</v>
      </c>
      <c r="S24" s="719">
        <f t="shared" ref="S24:S54" ca="1" si="11">ROUND(R24*B24/10000,0)</f>
        <v>789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2层</v>
      </c>
      <c r="B25" s="718">
        <f>'数据-基础表'!I14</f>
        <v>2294.6900000000005</v>
      </c>
      <c r="C25" s="24">
        <f>IF(B25="",1,(LOOKUP(B25,$3:$3,$4:$4)-LOOKUP($B$24,$3:$3,$4:$4)+100)/100)</f>
        <v>0.88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0.4</v>
      </c>
      <c r="R25" s="716">
        <f ca="1">IF(B25="",0,ROUND($R$24*C25*E25*G25*I25*K25*M25*O25*Q25,0))</f>
        <v>7940</v>
      </c>
      <c r="S25" s="361">
        <f t="shared" ca="1" si="11"/>
        <v>1822</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30178</v>
      </c>
      <c r="C2" s="2" t="s">
        <v>133</v>
      </c>
      <c r="D2" s="243"/>
      <c r="E2" s="243"/>
      <c r="F2" s="243"/>
      <c r="G2" s="243"/>
    </row>
    <row r="3" spans="1:7" s="244" customFormat="1" ht="18" customHeight="1" thickBot="1">
      <c r="A3" s="247" t="s">
        <v>85</v>
      </c>
      <c r="B3" s="248">
        <f ca="1">ROUND(B2*10000/'数据-汇总表'!E3,0)</f>
        <v>114114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95</v>
      </c>
      <c r="D10" s="1035">
        <f>'数据-汇总表'!E6</f>
        <v>2644.5600000000004</v>
      </c>
      <c r="E10" s="269">
        <f>'数据-取费表'!B28</f>
        <v>360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2644.5600000000004</v>
      </c>
      <c r="E19" s="255">
        <f>'数据-取费表'!B31</f>
        <v>360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4224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688</v>
      </c>
      <c r="D34" s="261"/>
      <c r="E34" s="264"/>
      <c r="F34" s="301">
        <f>IF('数据-取费表'!B24=0,1,'数据-取费表'!N16)</f>
        <v>1</v>
      </c>
      <c r="G34" s="263" t="s">
        <v>116</v>
      </c>
    </row>
    <row r="35" spans="1:7" ht="13.5" customHeight="1">
      <c r="A35" s="954" t="s">
        <v>796</v>
      </c>
      <c r="B35" s="259" t="s">
        <v>60</v>
      </c>
      <c r="C35" s="264">
        <f>ROUND(C34*F35,0)</f>
        <v>21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53</v>
      </c>
      <c r="D37" s="261">
        <f>'数据-汇总表'!E3</f>
        <v>2644.5600000000004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28</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27</v>
      </c>
      <c r="D42" s="282"/>
      <c r="E42" s="282"/>
      <c r="F42" s="283"/>
      <c r="G42" s="3188" t="s">
        <v>121</v>
      </c>
    </row>
    <row r="43" spans="1:7" ht="13.5" customHeight="1">
      <c r="A43" s="954" t="s">
        <v>792</v>
      </c>
      <c r="B43" s="259" t="s">
        <v>1064</v>
      </c>
      <c r="C43" s="282">
        <f ca="1">ROUND(IF('数据-取费表'!B22&lt;=1,C39*F22*'数据-取费表'!B21/2,C39*(POWER((1+F22),'数据-取费表'!B21/2)-1)),0)</f>
        <v>1</v>
      </c>
      <c r="D43" s="282"/>
      <c r="E43" s="282"/>
      <c r="F43" s="283"/>
      <c r="G43" s="3189"/>
    </row>
    <row r="44" spans="1:7" ht="13.5" customHeight="1">
      <c r="A44" s="954" t="s">
        <v>793</v>
      </c>
      <c r="B44" s="259" t="s">
        <v>1066</v>
      </c>
      <c r="C44" s="282">
        <f ca="1">ROUND(IF('数据-取费表'!B22&lt;=1,C40*F22*'数据-取费表'!B21/2,C40*(POWER((1+F22),'数据-取费表'!B21/2)-1)),4)</f>
        <v>6.9999999999999999E-4</v>
      </c>
      <c r="D44" s="282"/>
      <c r="E44" s="282"/>
      <c r="F44" s="283"/>
      <c r="G44" s="3190"/>
    </row>
    <row r="45" spans="1:7" s="258" customFormat="1" ht="13.5" customHeight="1">
      <c r="A45" s="951" t="s">
        <v>786</v>
      </c>
      <c r="B45" s="288" t="s">
        <v>112</v>
      </c>
      <c r="C45" s="289">
        <f>C46</f>
        <v>157</v>
      </c>
      <c r="D45" s="279">
        <f>C47</f>
        <v>4.0000000000000001E-3</v>
      </c>
      <c r="E45" s="280" t="s">
        <v>129</v>
      </c>
      <c r="F45" s="290"/>
      <c r="G45" s="291" t="s">
        <v>1072</v>
      </c>
    </row>
    <row r="46" spans="1:7" s="258" customFormat="1" ht="13.5" customHeight="1">
      <c r="A46" s="954" t="s">
        <v>794</v>
      </c>
      <c r="B46" s="292" t="s">
        <v>1065</v>
      </c>
      <c r="C46" s="293">
        <f>ROUND((C33+C39)*F27,0)</f>
        <v>157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1054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1054</v>
      </c>
      <c r="D51" s="276"/>
      <c r="E51" s="276"/>
      <c r="F51" s="308"/>
      <c r="G51" s="278" t="s">
        <v>64</v>
      </c>
    </row>
    <row r="52" spans="1:7" s="252" customFormat="1" ht="16.5" thickBot="1">
      <c r="A52" s="309" t="s">
        <v>65</v>
      </c>
      <c r="B52" s="310"/>
      <c r="C52" s="311">
        <f ca="1">C31+C51</f>
        <v>30178</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5" t="s">
        <v>156</v>
      </c>
      <c r="B1" s="3325"/>
      <c r="C1" s="3325"/>
      <c r="D1" s="3325"/>
      <c r="E1" s="3325"/>
      <c r="F1" s="332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6" t="s">
        <v>169</v>
      </c>
      <c r="B2" s="3326"/>
      <c r="C2" s="3326"/>
      <c r="D2" s="3326"/>
      <c r="E2" s="3326"/>
      <c r="F2" s="332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5" t="s">
        <v>871</v>
      </c>
      <c r="B1" s="332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43214</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tabSelected="1" workbookViewId="0">
      <selection activeCell="H18" sqref="H18"/>
    </sheetView>
  </sheetViews>
  <sheetFormatPr defaultRowHeight="13.5"/>
  <cols>
    <col min="7" max="7" width="12.375" customWidth="1"/>
    <col min="8" max="8" width="20.25" customWidth="1"/>
    <col min="9" max="9" width="50" customWidth="1"/>
  </cols>
  <sheetData>
    <row r="1" spans="1:9">
      <c r="A1">
        <v>1</v>
      </c>
      <c r="B1" s="2972" t="s">
        <v>3086</v>
      </c>
      <c r="C1">
        <v>13</v>
      </c>
      <c r="D1">
        <v>57.15</v>
      </c>
    </row>
    <row r="2" spans="1:9">
      <c r="A2">
        <v>2</v>
      </c>
      <c r="C2">
        <v>14</v>
      </c>
      <c r="D2">
        <v>57.15</v>
      </c>
      <c r="G2" s="2972" t="s">
        <v>3160</v>
      </c>
    </row>
    <row r="3" spans="1:9">
      <c r="A3">
        <v>3</v>
      </c>
      <c r="C3">
        <v>35</v>
      </c>
      <c r="D3">
        <v>121.11</v>
      </c>
      <c r="G3" s="2972" t="s">
        <v>3161</v>
      </c>
      <c r="H3" s="2972" t="s">
        <v>3162</v>
      </c>
      <c r="I3" s="2972" t="s">
        <v>3163</v>
      </c>
    </row>
    <row r="4" spans="1:9">
      <c r="A4">
        <v>4</v>
      </c>
      <c r="C4">
        <v>35</v>
      </c>
      <c r="D4">
        <v>114.46</v>
      </c>
      <c r="G4" s="2972" t="s">
        <v>3164</v>
      </c>
      <c r="H4" s="2972" t="s">
        <v>3165</v>
      </c>
      <c r="I4" s="2972" t="s">
        <v>3166</v>
      </c>
    </row>
    <row r="5" spans="1:9">
      <c r="A5">
        <v>5</v>
      </c>
      <c r="B5" s="2972" t="s">
        <v>3087</v>
      </c>
      <c r="C5">
        <v>1</v>
      </c>
      <c r="D5">
        <v>184.32</v>
      </c>
      <c r="G5" s="2972" t="s">
        <v>3167</v>
      </c>
      <c r="H5" s="2972" t="s">
        <v>3168</v>
      </c>
      <c r="I5" s="2972" t="s">
        <v>3169</v>
      </c>
    </row>
    <row r="6" spans="1:9">
      <c r="A6">
        <v>6</v>
      </c>
      <c r="C6">
        <v>2</v>
      </c>
      <c r="D6">
        <v>61.11</v>
      </c>
    </row>
    <row r="7" spans="1:9">
      <c r="A7">
        <v>7</v>
      </c>
      <c r="C7">
        <v>3</v>
      </c>
      <c r="D7">
        <v>61.11</v>
      </c>
    </row>
    <row r="8" spans="1:9">
      <c r="A8">
        <v>8</v>
      </c>
      <c r="C8">
        <v>4</v>
      </c>
      <c r="D8">
        <v>61.11</v>
      </c>
    </row>
    <row r="9" spans="1:9">
      <c r="A9">
        <v>9</v>
      </c>
      <c r="C9">
        <v>5</v>
      </c>
      <c r="D9">
        <v>61.11</v>
      </c>
    </row>
    <row r="10" spans="1:9">
      <c r="A10">
        <v>10</v>
      </c>
      <c r="C10">
        <v>6</v>
      </c>
      <c r="D10">
        <v>61.11</v>
      </c>
    </row>
    <row r="11" spans="1:9">
      <c r="A11">
        <v>11</v>
      </c>
      <c r="C11" s="2997">
        <v>7</v>
      </c>
      <c r="D11" s="2997">
        <v>201.28</v>
      </c>
    </row>
    <row r="12" spans="1:9">
      <c r="A12">
        <v>12</v>
      </c>
      <c r="C12" s="2997">
        <v>8</v>
      </c>
      <c r="D12" s="2997">
        <v>63.91</v>
      </c>
    </row>
    <row r="13" spans="1:9">
      <c r="A13">
        <v>13</v>
      </c>
      <c r="C13" s="2997">
        <v>9</v>
      </c>
      <c r="D13" s="2997">
        <v>63.91</v>
      </c>
    </row>
    <row r="14" spans="1:9">
      <c r="A14">
        <v>14</v>
      </c>
      <c r="C14" s="2997">
        <v>10</v>
      </c>
      <c r="D14" s="2997">
        <v>63.91</v>
      </c>
    </row>
    <row r="15" spans="1:9">
      <c r="A15">
        <v>15</v>
      </c>
      <c r="C15" s="2997">
        <v>11</v>
      </c>
      <c r="D15" s="2997">
        <v>63.91</v>
      </c>
    </row>
    <row r="16" spans="1:9">
      <c r="A16">
        <v>16</v>
      </c>
      <c r="C16" s="2997">
        <v>12</v>
      </c>
      <c r="D16" s="2997">
        <v>63.91</v>
      </c>
    </row>
    <row r="17" spans="1:4">
      <c r="A17">
        <v>17</v>
      </c>
      <c r="C17" s="2997">
        <v>13</v>
      </c>
      <c r="D17" s="2997">
        <v>63.91</v>
      </c>
    </row>
    <row r="18" spans="1:4">
      <c r="A18">
        <v>18</v>
      </c>
      <c r="C18" s="2997">
        <v>14</v>
      </c>
      <c r="D18" s="2997">
        <v>47.94</v>
      </c>
    </row>
    <row r="19" spans="1:4">
      <c r="A19">
        <v>19</v>
      </c>
      <c r="C19" s="2997">
        <v>15</v>
      </c>
      <c r="D19" s="2997">
        <v>52.73</v>
      </c>
    </row>
    <row r="20" spans="1:4">
      <c r="A20">
        <v>20</v>
      </c>
      <c r="C20" s="2997">
        <v>16</v>
      </c>
      <c r="D20" s="2997">
        <v>63.91</v>
      </c>
    </row>
    <row r="21" spans="1:4">
      <c r="A21">
        <v>21</v>
      </c>
      <c r="C21" s="2997">
        <v>17</v>
      </c>
      <c r="D21" s="2997">
        <v>63.91</v>
      </c>
    </row>
    <row r="22" spans="1:4">
      <c r="A22">
        <v>11</v>
      </c>
      <c r="C22" s="2998">
        <v>18</v>
      </c>
      <c r="D22" s="2998">
        <v>43.94</v>
      </c>
    </row>
    <row r="23" spans="1:4">
      <c r="A23">
        <v>12</v>
      </c>
      <c r="C23">
        <v>19</v>
      </c>
      <c r="D23">
        <v>43.94</v>
      </c>
    </row>
    <row r="24" spans="1:4">
      <c r="A24">
        <v>13</v>
      </c>
      <c r="C24">
        <v>20</v>
      </c>
      <c r="D24">
        <v>194.5</v>
      </c>
    </row>
    <row r="25" spans="1:4">
      <c r="A25">
        <v>14</v>
      </c>
      <c r="C25">
        <v>21</v>
      </c>
      <c r="D25">
        <v>59</v>
      </c>
    </row>
    <row r="26" spans="1:4">
      <c r="A26">
        <v>15</v>
      </c>
      <c r="C26">
        <v>22</v>
      </c>
      <c r="D26">
        <v>59</v>
      </c>
    </row>
    <row r="27" spans="1:4">
      <c r="A27">
        <v>16</v>
      </c>
      <c r="C27">
        <v>23</v>
      </c>
      <c r="D27">
        <v>59</v>
      </c>
    </row>
    <row r="28" spans="1:4">
      <c r="A28">
        <v>17</v>
      </c>
      <c r="C28">
        <v>24</v>
      </c>
      <c r="D28">
        <v>59</v>
      </c>
    </row>
    <row r="29" spans="1:4">
      <c r="A29">
        <v>18</v>
      </c>
      <c r="C29">
        <v>25</v>
      </c>
      <c r="D29">
        <v>59</v>
      </c>
    </row>
    <row r="30" spans="1:4">
      <c r="A30">
        <v>19</v>
      </c>
      <c r="C30">
        <v>26</v>
      </c>
      <c r="D30">
        <v>59</v>
      </c>
    </row>
    <row r="31" spans="1:4">
      <c r="A31">
        <v>20</v>
      </c>
      <c r="C31">
        <v>27</v>
      </c>
      <c r="D31">
        <v>59</v>
      </c>
    </row>
    <row r="32" spans="1:4">
      <c r="A32">
        <v>21</v>
      </c>
      <c r="C32">
        <v>28</v>
      </c>
      <c r="D32">
        <v>59</v>
      </c>
    </row>
    <row r="33" spans="1:4">
      <c r="A33">
        <v>22</v>
      </c>
      <c r="C33">
        <v>29</v>
      </c>
      <c r="D33">
        <v>114.01</v>
      </c>
    </row>
    <row r="34" spans="1:4">
      <c r="A34">
        <v>23</v>
      </c>
      <c r="C34">
        <v>30</v>
      </c>
      <c r="D34">
        <v>38.880000000000003</v>
      </c>
    </row>
    <row r="35" spans="1:4">
      <c r="A35">
        <v>24</v>
      </c>
      <c r="C35">
        <v>31</v>
      </c>
      <c r="D35">
        <v>38.880000000000003</v>
      </c>
    </row>
    <row r="36" spans="1:4">
      <c r="A36">
        <v>25</v>
      </c>
      <c r="C36">
        <v>32</v>
      </c>
      <c r="D36">
        <v>56.55</v>
      </c>
    </row>
    <row r="37" spans="1:4">
      <c r="A37">
        <v>26</v>
      </c>
      <c r="C37">
        <v>33</v>
      </c>
      <c r="D37">
        <v>67.849999999999994</v>
      </c>
    </row>
    <row r="38" spans="1:4">
      <c r="A38">
        <v>27</v>
      </c>
      <c r="C38">
        <v>34</v>
      </c>
      <c r="D38">
        <v>45.57</v>
      </c>
    </row>
    <row r="39" spans="1:4">
      <c r="A39">
        <v>28</v>
      </c>
      <c r="C39">
        <v>35</v>
      </c>
      <c r="D39">
        <v>56.55</v>
      </c>
    </row>
    <row r="40" spans="1:4">
      <c r="A40">
        <v>29</v>
      </c>
      <c r="C40">
        <v>36</v>
      </c>
      <c r="D40">
        <v>53.01</v>
      </c>
    </row>
    <row r="41" spans="1:4">
      <c r="A41">
        <v>30</v>
      </c>
      <c r="C41">
        <v>37</v>
      </c>
      <c r="D41">
        <v>32.6</v>
      </c>
    </row>
    <row r="42" spans="1:4">
      <c r="A42">
        <v>31</v>
      </c>
      <c r="C42">
        <v>38</v>
      </c>
      <c r="D42">
        <v>32.6</v>
      </c>
    </row>
    <row r="43" spans="1:4">
      <c r="A43">
        <v>32</v>
      </c>
      <c r="C43">
        <v>39</v>
      </c>
      <c r="D43">
        <v>32.6</v>
      </c>
    </row>
    <row r="44" spans="1:4">
      <c r="A44">
        <v>33</v>
      </c>
      <c r="C44">
        <v>40</v>
      </c>
      <c r="D44">
        <v>32.6</v>
      </c>
    </row>
    <row r="45" spans="1:4">
      <c r="A45">
        <v>45</v>
      </c>
      <c r="C45" s="2997">
        <v>41</v>
      </c>
      <c r="D45" s="2997">
        <v>35.46</v>
      </c>
    </row>
    <row r="46" spans="1:4">
      <c r="A46">
        <v>46</v>
      </c>
      <c r="C46" s="2997">
        <v>42</v>
      </c>
      <c r="D46" s="2997">
        <v>35.46</v>
      </c>
    </row>
    <row r="47" spans="1:4">
      <c r="A47">
        <v>47</v>
      </c>
      <c r="C47" s="2997">
        <v>43</v>
      </c>
      <c r="D47" s="2997">
        <v>61</v>
      </c>
    </row>
    <row r="48" spans="1:4">
      <c r="A48">
        <v>48</v>
      </c>
      <c r="C48" s="2997">
        <v>44</v>
      </c>
      <c r="D48" s="2997">
        <v>61</v>
      </c>
    </row>
    <row r="49" spans="1:4">
      <c r="A49">
        <v>49</v>
      </c>
      <c r="C49" s="2997">
        <v>45</v>
      </c>
      <c r="D49" s="2997">
        <v>30.5</v>
      </c>
    </row>
    <row r="50" spans="1:4">
      <c r="A50">
        <v>50</v>
      </c>
      <c r="C50" s="2997">
        <v>46</v>
      </c>
      <c r="D50" s="2997">
        <v>45.75</v>
      </c>
    </row>
    <row r="51" spans="1:4">
      <c r="A51">
        <v>51</v>
      </c>
      <c r="C51" s="2997">
        <v>47</v>
      </c>
      <c r="D51" s="2997">
        <v>45.75</v>
      </c>
    </row>
    <row r="52" spans="1:4">
      <c r="A52">
        <v>52</v>
      </c>
      <c r="C52" s="2997">
        <v>48</v>
      </c>
      <c r="D52" s="2997">
        <v>30.5</v>
      </c>
    </row>
    <row r="53" spans="1:4">
      <c r="A53">
        <v>34</v>
      </c>
      <c r="C53">
        <v>49</v>
      </c>
      <c r="D53">
        <v>56.09</v>
      </c>
    </row>
    <row r="54" spans="1:4">
      <c r="A54">
        <v>35</v>
      </c>
      <c r="C54">
        <v>50</v>
      </c>
      <c r="D54">
        <v>44.17</v>
      </c>
    </row>
    <row r="55" spans="1:4">
      <c r="A55">
        <v>36</v>
      </c>
      <c r="C55">
        <v>51</v>
      </c>
      <c r="D55">
        <v>39.97</v>
      </c>
    </row>
    <row r="56" spans="1:4">
      <c r="A56">
        <v>37</v>
      </c>
      <c r="C56">
        <v>52</v>
      </c>
      <c r="D56">
        <v>39.97</v>
      </c>
    </row>
    <row r="57" spans="1:4">
      <c r="A57">
        <v>38</v>
      </c>
      <c r="C57">
        <v>53</v>
      </c>
      <c r="D57">
        <v>44.17</v>
      </c>
    </row>
    <row r="58" spans="1:4">
      <c r="A58">
        <v>39</v>
      </c>
      <c r="C58">
        <v>54</v>
      </c>
      <c r="D58">
        <v>56.09</v>
      </c>
    </row>
    <row r="59" spans="1:4">
      <c r="A59">
        <v>40</v>
      </c>
      <c r="C59">
        <v>55</v>
      </c>
      <c r="D59">
        <v>28.05</v>
      </c>
    </row>
    <row r="60" spans="1:4">
      <c r="A60">
        <v>41</v>
      </c>
      <c r="C60">
        <v>56</v>
      </c>
      <c r="D60">
        <v>28.05</v>
      </c>
    </row>
    <row r="61" spans="1:4">
      <c r="A61">
        <v>42</v>
      </c>
      <c r="C61">
        <v>57</v>
      </c>
      <c r="D61">
        <v>56.09</v>
      </c>
    </row>
    <row r="62" spans="1:4">
      <c r="A62">
        <v>43</v>
      </c>
      <c r="C62">
        <v>58</v>
      </c>
      <c r="D62">
        <v>56.09</v>
      </c>
    </row>
    <row r="63" spans="1:4">
      <c r="D63">
        <f>SUM(D5:D10,D22:D44,D53:D62)</f>
        <v>2294.6900000000005</v>
      </c>
    </row>
  </sheetData>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2" t="str">
        <f>IF(项目基本情况!B9="房地产市场价值","估价结果一览表","结果表-2")</f>
        <v>估价结果一览表</v>
      </c>
      <c r="B1" s="3022"/>
      <c r="C1" s="3022"/>
      <c r="D1" s="3022"/>
      <c r="E1" s="3022"/>
      <c r="F1" s="3022"/>
      <c r="G1" s="3022"/>
      <c r="H1" s="3022"/>
      <c r="I1" s="3022"/>
    </row>
    <row r="2" spans="1:9" ht="30" customHeight="1" thickTop="1">
      <c r="A2" s="3023" t="s">
        <v>1641</v>
      </c>
      <c r="B2" s="3023" t="s">
        <v>1642</v>
      </c>
      <c r="C2" s="3023" t="s">
        <v>1643</v>
      </c>
      <c r="D2" s="3023" t="str">
        <f>结果表!D116</f>
        <v>出让国有建设用地使用权价值</v>
      </c>
      <c r="E2" s="3023"/>
      <c r="F2" s="3023" t="str">
        <f>结果表!F116</f>
        <v>在建建筑物价值</v>
      </c>
      <c r="G2" s="3023"/>
      <c r="H2" s="3023" t="str">
        <f>IF(项目基本情况!B9="房地产市场价值","房地产市场价值","房地产价值")</f>
        <v>房地产市场价值</v>
      </c>
      <c r="I2" s="3023"/>
    </row>
    <row r="3" spans="1:9" ht="15">
      <c r="A3" s="3017"/>
      <c r="B3" s="3017"/>
      <c r="C3" s="3017"/>
      <c r="D3" s="1047" t="s">
        <v>1638</v>
      </c>
      <c r="E3" s="1047" t="s">
        <v>1644</v>
      </c>
      <c r="F3" s="1047" t="s">
        <v>1638</v>
      </c>
      <c r="G3" s="1047" t="s">
        <v>1639</v>
      </c>
      <c r="H3" s="1047" t="s">
        <v>1638</v>
      </c>
      <c r="I3" s="1047" t="s">
        <v>1639</v>
      </c>
    </row>
    <row r="4" spans="1:9" ht="30">
      <c r="A4" s="1976" t="str">
        <f>项目基本情况!S2</f>
        <v>新疆省昌吉市延安南路46号小区房地产</v>
      </c>
      <c r="B4" s="1047">
        <f>项目基本情况!C17</f>
        <v>2644.5600000000004</v>
      </c>
      <c r="C4" s="1047">
        <f>项目基本情况!C18</f>
        <v>676.55</v>
      </c>
      <c r="D4" s="1047">
        <f ca="1">结果表!D118</f>
        <v>443</v>
      </c>
      <c r="E4" s="1047">
        <f ca="1">结果表!E118</f>
        <v>12662</v>
      </c>
      <c r="F4" s="1047">
        <f ca="1">结果表!F118</f>
        <v>346</v>
      </c>
      <c r="G4" s="1047">
        <f ca="1">结果表!G118</f>
        <v>9889</v>
      </c>
      <c r="H4" s="1047">
        <f ca="1">结果表!H118</f>
        <v>789</v>
      </c>
      <c r="I4" s="1047">
        <f ca="1">结果表!I118</f>
        <v>22551</v>
      </c>
    </row>
    <row r="5" spans="1:9" ht="30" customHeight="1">
      <c r="A5" s="3017" t="s">
        <v>1640</v>
      </c>
      <c r="B5" s="3017"/>
      <c r="C5" s="3017"/>
      <c r="D5" s="3018" t="str">
        <f ca="1">结果表!D119</f>
        <v>肆佰肆拾叁万元整</v>
      </c>
      <c r="E5" s="3018"/>
      <c r="F5" s="3018" t="str">
        <f ca="1">结果表!F119</f>
        <v>叁佰肆拾陆万元整</v>
      </c>
      <c r="G5" s="3018"/>
      <c r="H5" s="3018" t="str">
        <f ca="1">结果表!H119</f>
        <v>柒佰捌拾玖万元整</v>
      </c>
      <c r="I5" s="3018"/>
    </row>
    <row r="6" spans="1:9" ht="15.75">
      <c r="A6" s="3016" t="str">
        <f>结果表!A120</f>
        <v/>
      </c>
      <c r="B6" s="3016"/>
      <c r="C6" s="3016"/>
      <c r="D6" s="3016">
        <f>结果表!D120</f>
        <v>0</v>
      </c>
      <c r="E6" s="3016"/>
      <c r="F6" s="3016"/>
      <c r="G6" s="3016"/>
      <c r="H6" s="3016"/>
      <c r="I6" s="3016"/>
    </row>
    <row r="7" spans="1:9" ht="15">
      <c r="A7" s="3017" t="s">
        <v>1640</v>
      </c>
      <c r="B7" s="3017"/>
      <c r="C7" s="3017"/>
      <c r="D7" s="3019" t="str">
        <f>结果表!D121</f>
        <v>零元整</v>
      </c>
      <c r="E7" s="3020"/>
      <c r="F7" s="3020"/>
      <c r="G7" s="3020"/>
      <c r="H7" s="3020"/>
      <c r="I7" s="3021"/>
    </row>
    <row r="8" spans="1:9" ht="15.75">
      <c r="A8" s="3016" t="str">
        <f>结果表!A122</f>
        <v/>
      </c>
      <c r="B8" s="3016"/>
      <c r="C8" s="3016"/>
      <c r="D8" s="3016">
        <f ca="1">结果表!D122</f>
        <v>789</v>
      </c>
      <c r="E8" s="3016"/>
      <c r="F8" s="3016"/>
      <c r="G8" s="3016"/>
      <c r="H8" s="3016"/>
      <c r="I8" s="3016"/>
    </row>
    <row r="9" spans="1:9" ht="15">
      <c r="A9" s="3017" t="s">
        <v>1640</v>
      </c>
      <c r="B9" s="3017"/>
      <c r="C9" s="3017"/>
      <c r="D9" s="3018" t="str">
        <f ca="1">结果表!D123</f>
        <v>柒佰捌拾玖万元整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1640</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1640</v>
      </c>
      <c r="B13" s="3013"/>
      <c r="C13" s="3013"/>
      <c r="D13" s="3014" t="e">
        <f>结果表!D127</f>
        <v>#VALUE!</v>
      </c>
      <c r="E13" s="3014"/>
      <c r="F13" s="3014"/>
      <c r="G13" s="3014"/>
      <c r="H13" s="3014"/>
      <c r="I13" s="3014"/>
    </row>
    <row r="14" spans="1:9" ht="15" thickTop="1">
      <c r="A14" s="3015" t="s">
        <v>1645</v>
      </c>
      <c r="B14" s="3015"/>
      <c r="C14" s="3015"/>
      <c r="D14" s="3015"/>
      <c r="E14" s="3015"/>
      <c r="F14" s="3015"/>
      <c r="G14" s="3015"/>
      <c r="H14" s="3015"/>
      <c r="I14" s="301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0" t="s">
        <v>1662</v>
      </c>
      <c r="B1" s="3030"/>
      <c r="C1" s="3030"/>
      <c r="D1" s="3030"/>
    </row>
    <row r="2" spans="1:4" ht="18">
      <c r="A2" s="3031" t="s">
        <v>1646</v>
      </c>
      <c r="B2" s="3031"/>
      <c r="C2" s="3031"/>
      <c r="D2" s="3031"/>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31" t="s">
        <v>1652</v>
      </c>
      <c r="B6" s="3031"/>
      <c r="C6" s="3031"/>
      <c r="D6" s="303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2"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9"/>
      <c r="C12" s="3029"/>
      <c r="D12" s="3029"/>
    </row>
    <row r="13" spans="1:4" ht="30" customHeight="1">
      <c r="A13" s="3024" t="str">
        <f>IF(项目基本情况!B8="抵押","3.抵押双方在办理抵押登记手续时，应使用本公司出具的正式《房地产评估报告》，特提醒报告使用者注意。","——")</f>
        <v>——</v>
      </c>
      <c r="B13" s="3029"/>
      <c r="C13" s="3029"/>
      <c r="D13" s="3029"/>
    </row>
    <row r="14" spans="1:4" ht="15.75" customHeight="1">
      <c r="A14" s="3024" t="str">
        <f>IF(项目基本情况!B8="抵押","4.本次评估估价师所知悉的法定优先受偿款情况说明如下：","——")</f>
        <v>——</v>
      </c>
      <c r="B14" s="3029"/>
      <c r="C14" s="3029"/>
      <c r="D14" s="3029"/>
    </row>
    <row r="15" spans="1:4" ht="42" customHeight="1">
      <c r="A15" s="3024" t="str">
        <f>IF(项目基本情况!B8="抵押","（1）"&amp;CONCATENATE(项目基本情况!L20,项目基本情况!L21,项目基本情况!L22),"——")</f>
        <v>——</v>
      </c>
      <c r="B15" s="3024"/>
      <c r="C15" s="3024"/>
      <c r="D15" s="3024"/>
    </row>
    <row r="16" spans="1:4" ht="30" customHeight="1">
      <c r="A16" s="3026" t="s">
        <v>1656</v>
      </c>
      <c r="B16" s="3026"/>
      <c r="C16" s="3026"/>
      <c r="D16" s="3026"/>
    </row>
    <row r="17" spans="1:4" ht="144" customHeight="1">
      <c r="A17" s="3026" t="s">
        <v>1657</v>
      </c>
      <c r="B17" s="3026"/>
      <c r="C17" s="3026"/>
      <c r="D17" s="3026"/>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1658</v>
      </c>
      <c r="B22" s="3028"/>
      <c r="C22" s="3028"/>
      <c r="D22" s="302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8" t="s">
        <v>1669</v>
      </c>
      <c r="B15" s="3033" t="s">
        <v>136</v>
      </c>
      <c r="C15" s="3034"/>
    </row>
    <row r="16" spans="1:7" ht="13.5">
      <c r="A16" s="3039"/>
      <c r="B16" s="3033" t="s">
        <v>69</v>
      </c>
      <c r="C16" s="3034"/>
    </row>
    <row r="17" spans="1:3" ht="13.5">
      <c r="A17" s="3039"/>
      <c r="B17" s="3036" t="s">
        <v>1670</v>
      </c>
      <c r="C17" s="2003" t="s">
        <v>1669</v>
      </c>
    </row>
    <row r="18" spans="1:3" ht="13.5">
      <c r="A18" s="3039"/>
      <c r="B18" s="3036"/>
      <c r="C18" s="2003" t="s">
        <v>1671</v>
      </c>
    </row>
    <row r="19" spans="1:3" ht="13.5">
      <c r="A19" s="3039"/>
      <c r="B19" s="3036"/>
      <c r="C19" s="2003" t="s">
        <v>1672</v>
      </c>
    </row>
    <row r="20" spans="1:3" ht="13.5">
      <c r="A20" s="3040"/>
      <c r="B20" s="3035" t="s">
        <v>1673</v>
      </c>
      <c r="C20" s="3034"/>
    </row>
    <row r="21" spans="1:3" ht="13.5">
      <c r="A21" s="2004" t="s">
        <v>1674</v>
      </c>
      <c r="B21" s="2005"/>
      <c r="C21" s="2006"/>
    </row>
    <row r="22" spans="1:3" ht="13.5">
      <c r="A22" s="3037" t="s">
        <v>1675</v>
      </c>
      <c r="B22" s="3035" t="s">
        <v>1676</v>
      </c>
      <c r="C22" s="3034"/>
    </row>
    <row r="23" spans="1:3" ht="13.5">
      <c r="A23" s="3037"/>
      <c r="B23" s="3035" t="s">
        <v>1677</v>
      </c>
      <c r="C23" s="3034"/>
    </row>
    <row r="24" spans="1:3" ht="13.5">
      <c r="A24" s="3037"/>
      <c r="B24" s="3035" t="s">
        <v>1678</v>
      </c>
      <c r="C24" s="3034"/>
    </row>
    <row r="25" spans="1:3" ht="13.5">
      <c r="A25" s="3037"/>
      <c r="B25" s="3036" t="s">
        <v>1679</v>
      </c>
      <c r="C25" s="2003" t="s">
        <v>1680</v>
      </c>
    </row>
    <row r="26" spans="1:3" ht="13.5">
      <c r="A26" s="3037"/>
      <c r="B26" s="3036"/>
      <c r="C26" s="2003" t="s">
        <v>1681</v>
      </c>
    </row>
    <row r="27" spans="1:3" ht="13.5">
      <c r="A27" s="3037"/>
      <c r="B27" s="3036"/>
      <c r="C27" s="2003" t="s">
        <v>1682</v>
      </c>
    </row>
    <row r="28" spans="1:3" ht="13.5">
      <c r="A28" s="3037"/>
      <c r="B28" s="3036"/>
      <c r="C28" s="2003" t="s">
        <v>1683</v>
      </c>
    </row>
    <row r="29" spans="1:3" ht="13.5">
      <c r="A29" s="3037"/>
      <c r="B29" s="3036"/>
      <c r="C29" s="2003" t="s">
        <v>1684</v>
      </c>
    </row>
    <row r="30" spans="1:3" ht="13.5">
      <c r="A30" s="3037"/>
      <c r="B30" s="3036"/>
      <c r="C30" s="2003" t="s">
        <v>1685</v>
      </c>
    </row>
    <row r="31" spans="1:3" ht="13.5">
      <c r="A31" s="3037"/>
      <c r="B31" s="3036"/>
      <c r="C31" s="2003" t="s">
        <v>1686</v>
      </c>
    </row>
    <row r="32" spans="1:3" ht="13.5">
      <c r="A32" s="3037"/>
      <c r="B32" s="3036"/>
      <c r="C32" s="2003" t="s">
        <v>1687</v>
      </c>
    </row>
    <row r="33" spans="1:3" ht="13.5">
      <c r="A33" s="3037"/>
      <c r="B33" s="303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43218</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41" t="s">
        <v>846</v>
      </c>
      <c r="B25" s="3041"/>
      <c r="C25" s="3041"/>
      <c r="D25" s="3041"/>
      <c r="E25" s="3041"/>
      <c r="F25" s="3041"/>
      <c r="G25" s="3041"/>
    </row>
    <row r="26" spans="1:7" s="1028" customFormat="1" ht="24" customHeight="1">
      <c r="A26" s="3042" t="s">
        <v>847</v>
      </c>
      <c r="B26" s="3042"/>
      <c r="C26" s="3043"/>
      <c r="D26" s="3044" t="s">
        <v>848</v>
      </c>
      <c r="E26" s="3042"/>
      <c r="F26" s="3042"/>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结果表-办公</vt:lpstr>
      <vt:lpstr>比较法-商业</vt:lpstr>
      <vt:lpstr>收益法 (元)</vt:lpstr>
      <vt:lpstr>收益法（汇总）</vt:lpstr>
      <vt:lpstr>酒店收入计算</vt:lpstr>
      <vt:lpstr>比较法-住宅</vt:lpstr>
      <vt:lpstr>比较法-办公</vt:lpstr>
      <vt:lpstr>收益法 (元) 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'收益法 (元) 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2018-04-28T06:08:39Z</cp:lastPrinted>
  <dcterms:created xsi:type="dcterms:W3CDTF">2015-07-13T07:17:23Z</dcterms:created>
  <dcterms:modified xsi:type="dcterms:W3CDTF">2018-04-28T06:09:00Z</dcterms:modified>
</cp:coreProperties>
</file>