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办公" sheetId="34" state="hidden" r:id="rId45"/>
    <sheet name="土地案例" sheetId="85" r:id="rId46"/>
    <sheet name="地价-分区" sheetId="79" r:id="rId47"/>
    <sheet name="地价" sheetId="71" state="hidden" r:id="rId48"/>
    <sheet name="区片价" sheetId="44" state="hidden" r:id="rId49"/>
    <sheet name="存贷款利率" sheetId="73" r:id="rId50"/>
    <sheet name="面积" sheetId="84" r:id="rId51"/>
  </sheets>
  <externalReferences>
    <externalReference r:id="rId52"/>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H37" i="1" l="1"/>
  <c r="H36" i="1"/>
  <c r="H33" i="1"/>
  <c r="W22" i="85" l="1"/>
  <c r="C14" i="74" l="1"/>
  <c r="B14" i="74"/>
  <c r="V22" i="85"/>
  <c r="L6" i="1"/>
  <c r="C26" i="84" l="1"/>
  <c r="U6" i="1"/>
  <c r="I37" i="34" l="1"/>
  <c r="G37" i="34"/>
  <c r="E37" i="34"/>
  <c r="C37" i="34"/>
  <c r="E105" i="34"/>
  <c r="F105" i="34" s="1"/>
  <c r="D105" i="34"/>
  <c r="O72" i="39" l="1"/>
  <c r="K72" i="39"/>
  <c r="G72" i="39"/>
  <c r="F72" i="39"/>
  <c r="H72" i="39"/>
  <c r="I72" i="39"/>
  <c r="J72" i="39"/>
  <c r="L72" i="39"/>
  <c r="M72" i="39"/>
  <c r="N72" i="39"/>
  <c r="E72" i="39"/>
  <c r="I40" i="39"/>
  <c r="G40" i="39"/>
  <c r="E40" i="39"/>
  <c r="C13" i="39"/>
  <c r="I9" i="39"/>
  <c r="G9" i="39"/>
  <c r="E9" i="39"/>
  <c r="I7" i="39"/>
  <c r="G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8" i="15"/>
  <c r="M22" i="15"/>
  <c r="F13" i="67"/>
  <c r="M28" i="67"/>
  <c r="E7" i="76"/>
  <c r="F36" i="67"/>
  <c r="M27" i="15"/>
  <c r="F48" i="15"/>
  <c r="M23" i="15"/>
  <c r="F5" i="73"/>
  <c r="M22" i="67"/>
  <c r="F43" i="67"/>
  <c r="L52" i="15"/>
  <c r="E8" i="76"/>
  <c r="F6" i="15"/>
  <c r="M26" i="67"/>
  <c r="F16" i="67"/>
  <c r="B11" i="76"/>
  <c r="E9" i="76"/>
  <c r="F8" i="67"/>
  <c r="F6" i="67"/>
  <c r="F8" i="15"/>
  <c r="B9" i="76"/>
  <c r="F20" i="31"/>
  <c r="F26" i="67"/>
  <c r="J15" i="67"/>
  <c r="M28" i="15"/>
  <c r="E11" i="76"/>
  <c r="F40" i="67"/>
  <c r="F9" i="67"/>
  <c r="F34" i="15"/>
  <c r="B13" i="76"/>
  <c r="E13" i="76"/>
  <c r="AO13" i="1"/>
  <c r="F22" i="15"/>
  <c r="B7" i="76"/>
  <c r="F38" i="67"/>
  <c r="M9" i="67"/>
  <c r="M32" i="15"/>
  <c r="F23" i="15"/>
  <c r="F27" i="15"/>
  <c r="F37" i="67"/>
  <c r="F7" i="67"/>
  <c r="M25" i="15"/>
  <c r="F42" i="67"/>
  <c r="M23" i="67"/>
  <c r="C83" i="15"/>
  <c r="E10" i="76"/>
  <c r="F9" i="15"/>
  <c r="F4" i="73"/>
  <c r="F7" i="15"/>
  <c r="C76" i="67"/>
  <c r="F25" i="15"/>
  <c r="F21" i="15"/>
  <c r="M21" i="15"/>
  <c r="E12" i="76"/>
  <c r="F29" i="15"/>
  <c r="B10" i="76"/>
  <c r="L47" i="67"/>
  <c r="F44" i="15"/>
  <c r="F3" i="73"/>
  <c r="M9" i="15"/>
  <c r="F7" i="73"/>
  <c r="F6" i="73"/>
  <c r="M29" i="67"/>
  <c r="M24" i="67"/>
  <c r="D6" i="73"/>
  <c r="B8" i="76"/>
  <c r="E2" i="69"/>
  <c r="M8" i="67"/>
  <c r="M6" i="15"/>
  <c r="M6" i="67"/>
  <c r="B12" i="76"/>
  <c r="AC40" i="39" l="1"/>
  <c r="C7" i="15"/>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U19"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L52" i="81"/>
  <c r="M8" i="81"/>
  <c r="F34" i="81"/>
  <c r="C34" i="15"/>
  <c r="L53" i="81"/>
  <c r="F22" i="81"/>
  <c r="M25" i="81"/>
  <c r="F48" i="81"/>
  <c r="M28" i="81"/>
  <c r="D7" i="73"/>
  <c r="L53" i="15"/>
  <c r="F27" i="81"/>
  <c r="F44" i="81"/>
  <c r="D3" i="73"/>
  <c r="F6" i="81"/>
  <c r="D15" i="68"/>
  <c r="L48" i="67"/>
  <c r="M23" i="81"/>
  <c r="F21" i="81"/>
  <c r="F29" i="81"/>
  <c r="F25" i="81"/>
  <c r="M9" i="81"/>
  <c r="F23" i="81"/>
  <c r="D4" i="73"/>
  <c r="M32" i="81"/>
  <c r="D5" i="73"/>
  <c r="F9" i="81"/>
  <c r="C83" i="81"/>
  <c r="M22" i="81"/>
  <c r="M27" i="81"/>
  <c r="M6" i="81"/>
  <c r="M21" i="81"/>
  <c r="F7" i="81"/>
  <c r="C16" i="67"/>
  <c r="F8" i="81"/>
  <c r="C18" i="81"/>
  <c r="S19" i="39" l="1"/>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1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C34" i="81"/>
  <c r="F27" i="68"/>
  <c r="C18" i="15" l="1"/>
  <c r="C10" i="15"/>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F26" i="81"/>
  <c r="M26" i="15"/>
  <c r="M26" i="81"/>
  <c r="M27" i="67"/>
  <c r="AE6" i="1"/>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7" i="67"/>
  <c r="D16" i="68"/>
  <c r="C35" i="15"/>
  <c r="C35" i="81"/>
  <c r="F26" i="15"/>
  <c r="C14" i="67"/>
  <c r="C68" i="15"/>
  <c r="C68" i="81"/>
  <c r="C32" i="81"/>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B6" i="76"/>
  <c r="C32" i="15"/>
  <c r="C12" i="68"/>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15"/>
  <c r="M20" i="81"/>
  <c r="F20" i="15"/>
  <c r="F35" i="67"/>
  <c r="M21"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F2" i="37"/>
  <c r="F2" i="34"/>
  <c r="F2" i="36"/>
  <c r="D2" i="34" l="1"/>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W9" i="39"/>
  <c r="AC9" i="39"/>
  <c r="V49" i="39" s="1"/>
  <c r="I49" i="39" s="1"/>
  <c r="E49" i="39"/>
  <c r="U9" i="39"/>
  <c r="AB9" i="39"/>
  <c r="T49" i="39" s="1"/>
  <c r="G49" i="39" s="1"/>
  <c r="J9" i="40"/>
  <c r="F9" i="40"/>
  <c r="H9" i="40"/>
  <c r="AO12" i="1"/>
  <c r="AO10" i="1"/>
  <c r="AO11"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8" i="1"/>
  <c r="AO9" i="1"/>
  <c r="AO6" i="1"/>
  <c r="C27" i="68" l="1"/>
  <c r="C33" i="68"/>
  <c r="B2" i="68" s="1"/>
  <c r="C64" i="68"/>
  <c r="C63" i="68" s="1"/>
  <c r="B9" i="70"/>
  <c r="B8" i="70"/>
  <c r="B6" i="70"/>
  <c r="B3" i="15"/>
  <c r="B3" i="68"/>
  <c r="C19" i="9"/>
  <c r="D20" i="9"/>
  <c r="C102" i="9" l="1"/>
  <c r="G19" i="9"/>
  <c r="G22" i="9" s="1"/>
  <c r="I19" i="9"/>
  <c r="D22" i="9"/>
  <c r="D103" i="9"/>
  <c r="B2" i="70"/>
  <c r="B3" i="70" s="1"/>
  <c r="D35" i="9"/>
  <c r="D34" i="9"/>
  <c r="C20"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<sst xmlns="http://schemas.openxmlformats.org/spreadsheetml/2006/main" count="9379" uniqueCount="4041">
  <si>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</si>
  <si>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</si>
  <si>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</si>
  <si>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</si>
  <si>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</si>
  <si>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</si>
  <si>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</si>
  <si>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</si>
  <si>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</si>
  <si>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</si>
  <si>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</si>
  <si>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</si>
  <si>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</si>
  <si>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</si>
  <si>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</si>
  <si>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</si>
  <si>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</si>
  <si>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</si>
  <si>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</si>
  <si>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</si>
  <si>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</si>
  <si>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</si>
  <si>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</si>
  <si>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</si>
  <si>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</si>
  <si>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</si>
  <si>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</si>
  <si>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</si>
  <si>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</si>
  <si>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</si>
  <si>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</si>
  <si>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</si>
  <si>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</si>
  <si>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</si>
  <si>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</si>
  <si>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</si>
  <si>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</si>
  <si>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</si>
  <si>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</si>
  <si>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</si>
  <si>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</si>
  <si>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</si>
  <si>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</si>
  <si>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</si>
  <si>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</si>
  <si>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</si>
  <si>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</si>
  <si>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</si>
  <si>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</si>
  <si>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</si>
  <si>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</si>
  <si>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</si>
  <si>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</si>
  <si>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</si>
  <si>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</si>
  <si>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</si>
  <si>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</si>
  <si>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</si>
  <si>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</si>
  <si>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</si>
  <si>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</si>
  <si>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</si>
  <si>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</si>
  <si>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</si>
  <si>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</si>
  <si>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</si>
  <si>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</si>
  <si>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</si>
  <si>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</si>
  <si>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</si>
  <si>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</si>
  <si>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</si>
  <si>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</si>
  <si>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</si>
  <si>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</si>
  <si>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</si>
  <si>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</si>
  <si>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</si>
  <si>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</si>
  <si>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</si>
  <si>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</si>
  <si>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</si>
  <si>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</si>
  <si>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</si>
  <si>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</si>
  <si>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</si>
  <si>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</si>
  <si>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</si>
  <si>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</si>
  <si>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</si>
  <si>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</si>
  <si>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</si>
  <si>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</si>
  <si>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</si>
  <si>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</si>
  <si>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</si>
  <si>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</si>
  <si>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</si>
  <si>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</si>
  <si>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</si>
  <si>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</si>
  <si>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</si>
  <si>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</si>
  <si>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</si>
  <si>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</si>
  <si>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</si>
  <si>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</si>
  <si>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</si>
  <si>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</si>
  <si>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</si>
  <si>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</si>
  <si>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</si>
  <si>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</si>
  <si>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</si>
  <si>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</si>
  <si>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</si>
  <si>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</si>
  <si>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</si>
  <si>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</si>
  <si>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</si>
  <si>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</si>
  <si>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</si>
  <si>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</si>
  <si>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</si>
  <si>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</si>
  <si>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</si>
  <si>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</si>
  <si>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</si>
  <si>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</si>
  <si>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</si>
  <si>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</si>
  <si>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</si>
  <si>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</si>
  <si>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</si>
  <si>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</si>
  <si>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</si>
  <si>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</si>
  <si>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</si>
  <si>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</si>
  <si>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</si>
  <si>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</si>
  <si>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</si>
  <si>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</si>
  <si>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</si>
  <si>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</si>
  <si>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</si>
  <si>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</si>
  <si>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</si>
  <si>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</si>
  <si>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</si>
  <si>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</si>
  <si>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</si>
  <si>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</si>
  <si>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</si>
  <si>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</si>
  <si>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</si>
  <si>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</si>
  <si>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</si>
  <si>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</si>
  <si>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</si>
  <si>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</si>
  <si>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</si>
  <si>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</si>
  <si>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</si>
  <si>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</si>
  <si>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</si>
  <si>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</si>
  <si>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</si>
  <si>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</si>
  <si>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</si>
  <si>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</si>
  <si>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</si>
  <si>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</si>
  <si>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</si>
  <si>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</si>
  <si>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</si>
  <si>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</si>
  <si>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</si>
  <si>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</si>
  <si>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</si>
  <si>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</si>
  <si>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</si>
  <si>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</si>
  <si>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</si>
  <si>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</si>
  <si>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</si>
  <si>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</si>
  <si>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</si>
  <si>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</si>
  <si>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</si>
  <si>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</si>
  <si>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</si>
  <si>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</si>
  <si>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</si>
  <si>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</si>
  <si>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</si>
  <si>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</si>
  <si>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</si>
  <si>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</si>
  <si>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</si>
  <si>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</si>
  <si>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</si>
  <si>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</si>
  <si>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</si>
  <si>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</si>
  <si>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</si>
  <si>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</si>
  <si>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</si>
  <si>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</si>
  <si>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</si>
  <si>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</si>
  <si>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</si>
  <si>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</si>
  <si>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</si>
  <si>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</si>
  <si>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</si>
  <si>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</si>
  <si>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</si>
  <si>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</si>
  <si>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</si>
  <si>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</si>
  <si>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</si>
  <si>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</si>
  <si>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</si>
  <si>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</si>
  <si>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</si>
  <si>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</si>
  <si>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</si>
  <si>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</si>
  <si>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</si>
  <si>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</si>
  <si>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</si>
  <si>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</si>
  <si>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</si>
  <si>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</si>
  <si>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</si>
  <si>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</si>
  <si>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</si>
  <si>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</si>
  <si>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</si>
  <si>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</si>
  <si>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</si>
  <si>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</si>
  <si>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</si>
  <si>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</si>
  <si>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</si>
  <si>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</si>
  <si>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</si>
  <si>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</si>
  <si>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</si>
  <si>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</si>
  <si>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</si>
  <si>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</si>
  <si>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</si>
  <si>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</si>
  <si>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</si>
  <si>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</si>
  <si>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</si>
  <si>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</si>
  <si>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</si>
  <si>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</si>
  <si>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</si>
  <si>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</si>
  <si>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</si>
  <si>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</si>
  <si>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</si>
  <si>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</si>
  <si>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</si>
  <si>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</si>
  <si>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</si>
  <si>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</si>
  <si>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</si>
  <si>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</si>
  <si>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</si>
  <si>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</si>
  <si>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</si>
  <si>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</si>
  <si>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</si>
  <si>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</si>
  <si>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</si>
  <si>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</si>
  <si>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</si>
  <si>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</si>
  <si>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</si>
  <si>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</si>
  <si>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</si>
  <si>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</si>
  <si>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</si>
  <si>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</si>
  <si>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</si>
  <si>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</si>
  <si>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</si>
  <si>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</si>
  <si>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</si>
  <si>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</si>
  <si>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</si>
  <si>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</si>
  <si>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</si>
  <si>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</si>
  <si>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</si>
  <si>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</si>
  <si>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</si>
  <si>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</si>
  <si>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</si>
  <si>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</si>
  <si>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</si>
  <si>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</si>
  <si>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</si>
  <si>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</si>
  <si>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</si>
  <si>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</si>
  <si>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</si>
  <si>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</si>
  <si>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</si>
  <si>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</si>
  <si>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</si>
  <si>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</si>
  <si>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</si>
  <si>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</si>
  <si>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</si>
  <si>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</si>
  <si>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</si>
  <si>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</si>
  <si>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</si>
  <si>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</si>
  <si>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</si>
  <si>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</si>
  <si>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</si>
  <si>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</si>
  <si>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</si>
  <si>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</si>
  <si>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</si>
  <si>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</si>
  <si>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</si>
  <si>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</si>
  <si>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</si>
  <si>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</si>
  <si>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</si>
  <si>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</si>
  <si>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</si>
  <si>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</si>
  <si>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</si>
  <si>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</si>
  <si>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</si>
  <si>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</si>
  <si>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</si>
  <si>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</si>
  <si>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</si>
  <si>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</si>
  <si>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</si>
  <si>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</si>
  <si>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</si>
  <si>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</si>
  <si>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</si>
  <si>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</si>
  <si>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</si>
  <si>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</si>
  <si>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</si>
  <si>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</si>
  <si>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</si>
  <si>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</si>
  <si>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</si>
  <si>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</si>
  <si>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</si>
  <si>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</si>
  <si>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</si>
  <si>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</si>
  <si>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</si>
  <si>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</si>
  <si>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</si>
  <si>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</si>
  <si>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</si>
  <si>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</si>
  <si>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</si>
  <si>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</si>
  <si>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</si>
  <si>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</si>
  <si>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</si>
  <si>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</si>
  <si>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</si>
  <si>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</si>
  <si>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</si>
  <si>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</si>
  <si>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</si>
  <si>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</si>
  <si>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</si>
  <si>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</si>
  <si>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</si>
  <si>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</si>
  <si>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</si>
  <si>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</si>
  <si>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</si>
  <si>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</si>
  <si>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</si>
  <si>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</si>
  <si>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</si>
  <si>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</si>
  <si>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</si>
  <si>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</si>
  <si>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</si>
  <si>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</si>
  <si>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</si>
  <si>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</si>
  <si>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</si>
  <si>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</si>
  <si>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</si>
  <si>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</si>
  <si>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</si>
  <si>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</si>
  <si>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</si>
  <si>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</si>
  <si>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</si>
  <si>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</si>
  <si>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</si>
  <si>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</si>
  <si>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</si>
  <si>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</si>
  <si>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</si>
  <si>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</si>
  <si>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</si>
  <si>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</si>
  <si>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</si>
  <si>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</si>
  <si>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</si>
  <si>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</si>
  <si>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</si>
  <si>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</si>
  <si>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</si>
  <si>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</si>
  <si>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</si>
  <si>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</si>
  <si>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</si>
  <si>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</si>
  <si>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</si>
  <si>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</si>
  <si>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</si>
  <si>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</si>
  <si>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</si>
  <si>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</si>
  <si>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</si>
  <si>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</si>
  <si>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</si>
  <si>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</si>
  <si>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</si>
  <si>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</si>
  <si>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</si>
  <si>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</si>
  <si>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</si>
  <si>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</si>
  <si>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</si>
  <si>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</si>
  <si>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</si>
  <si>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</si>
  <si>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</si>
  <si>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</si>
  <si>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</si>
  <si>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</si>
  <si>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</si>
  <si>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</si>
  <si>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</si>
  <si>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</si>
  <si>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</si>
  <si>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</si>
  <si>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</si>
  <si>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</si>
  <si>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</si>
  <si>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</si>
  <si>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</si>
  <si>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</si>
  <si>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</si>
  <si>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</si>
  <si>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</si>
  <si>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</si>
  <si>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</si>
  <si>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</si>
  <si>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</si>
  <si>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</si>
  <si>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</si>
  <si>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</si>
  <si>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</si>
  <si>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</si>
  <si>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</si>
  <si>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</si>
  <si>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</si>
  <si>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</si>
  <si>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</si>
  <si>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</si>
  <si>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</si>
  <si>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</si>
  <si>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</si>
  <si>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</si>
  <si>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</si>
  <si>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</si>
  <si>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</si>
  <si>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</si>
  <si>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</si>
  <si>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</si>
  <si>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</si>
  <si>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</si>
  <si>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</si>
  <si>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</si>
  <si>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</si>
  <si>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</si>
  <si>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</si>
  <si>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</si>
  <si>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</si>
  <si>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</si>
  <si>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</si>
  <si>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</si>
  <si>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</si>
  <si>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</si>
  <si>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</si>
  <si>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</si>
  <si>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</si>
  <si>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</si>
  <si>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</si>
  <si>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</si>
  <si>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</si>
  <si>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</si>
  <si>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</si>
  <si>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</si>
  <si>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</si>
  <si>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</si>
  <si>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</si>
  <si>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</si>
  <si>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</si>
  <si>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</si>
  <si>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</si>
  <si>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</si>
  <si>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</si>
  <si>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</si>
  <si>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</si>
  <si>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</si>
  <si>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</si>
  <si>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</si>
  <si>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</si>
  <si>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</si>
  <si>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</si>
  <si>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</si>
  <si>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</si>
  <si>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</si>
  <si>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</si>
  <si>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</si>
  <si>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</si>
  <si>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</si>
  <si>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</si>
  <si>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</si>
  <si>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</si>
  <si>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</si>
  <si>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</si>
  <si>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</si>
  <si>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</si>
  <si>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</si>
  <si>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</si>
  <si>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</si>
  <si>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</si>
  <si>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</si>
  <si>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</si>
  <si>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</si>
  <si>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</si>
  <si>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</si>
  <si>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</si>
  <si>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</si>
  <si>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</si>
  <si>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</si>
  <si>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</si>
  <si>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</si>
  <si>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</si>
  <si>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</si>
  <si>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</si>
  <si>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</si>
  <si>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</si>
  <si>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</si>
  <si>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</si>
  <si>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</si>
  <si>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</si>
  <si>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</si>
  <si>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</si>
  <si>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</si>
  <si>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</si>
  <si>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</si>
  <si>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</si>
  <si>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</si>
  <si>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</si>
  <si>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</si>
  <si>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</si>
  <si>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</si>
  <si>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</si>
  <si>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</si>
  <si>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</si>
  <si>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</si>
  <si>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</si>
  <si>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</si>
  <si>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</si>
  <si>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</si>
  <si>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</si>
  <si>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</si>
  <si>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</si>
  <si>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</si>
  <si>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</si>
  <si>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</si>
  <si>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</si>
  <si>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</si>
  <si>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</si>
  <si>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</si>
  <si>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</si>
  <si>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</si>
  <si>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</si>
  <si>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</si>
  <si>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</si>
  <si>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</si>
  <si>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</si>
  <si>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</si>
  <si>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</si>
  <si>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</si>
  <si>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</si>
  <si>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</si>
  <si>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</si>
  <si>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</si>
  <si>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</si>
  <si>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</si>
  <si>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</si>
  <si>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</si>
  <si>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</si>
  <si>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</si>
  <si>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</si>
  <si>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</si>
  <si>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</si>
  <si>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</si>
  <si>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</si>
  <si>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</si>
  <si>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</si>
  <si>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</si>
  <si>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</si>
  <si>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</si>
  <si>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</si>
  <si>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</si>
  <si>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</si>
  <si>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</si>
  <si>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</si>
  <si>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</si>
  <si>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</si>
  <si>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</si>
  <si>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</si>
  <si>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</si>
  <si>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</si>
  <si>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</si>
  <si>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</si>
  <si>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</si>
  <si>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</si>
  <si>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</si>
  <si>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</si>
  <si>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</si>
  <si>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</si>
  <si>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</si>
  <si>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</si>
  <si>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</si>
  <si>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</si>
  <si>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</si>
  <si>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</si>
  <si>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</si>
  <si>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</si>
  <si>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</si>
  <si>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</si>
  <si>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</si>
  <si>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</si>
  <si>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</si>
  <si>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</si>
  <si>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</si>
  <si>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</si>
  <si>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</si>
  <si>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</si>
  <si>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</si>
  <si>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</si>
  <si>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</si>
  <si>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</si>
  <si>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</si>
  <si>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</si>
  <si>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</si>
  <si>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</si>
  <si>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</si>
  <si>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</si>
  <si>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</si>
  <si>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</si>
  <si>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</si>
  <si>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</si>
  <si>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</si>
  <si>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</si>
  <si>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</si>
  <si>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</si>
  <si>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</si>
  <si>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</si>
  <si>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</si>
  <si>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</si>
  <si>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</si>
  <si>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</si>
  <si>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</si>
  <si>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</si>
  <si>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</si>
  <si>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</si>
  <si>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</si>
  <si>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</si>
  <si>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</si>
  <si>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</si>
  <si>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</si>
  <si>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</si>
  <si>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</si>
  <si>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</si>
  <si>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</si>
  <si>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</si>
  <si>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</si>
  <si>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</si>
  <si>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</si>
  <si>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</si>
  <si>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</si>
  <si>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</si>
  <si>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</si>
  <si>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</si>
  <si>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</si>
  <si>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</si>
  <si>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</si>
  <si>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</si>
  <si>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</si>
  <si>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</si>
  <si>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</si>
  <si>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</si>
  <si>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</si>
  <si>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</si>
  <si>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</si>
  <si>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</si>
  <si>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</si>
  <si>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</si>
  <si>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</si>
  <si>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</si>
  <si>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</si>
  <si>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</si>
  <si>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</si>
  <si>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</si>
  <si>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</si>
  <si>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</si>
  <si>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</si>
  <si>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</si>
  <si>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</si>
  <si>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</si>
  <si>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</si>
  <si>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</si>
  <si>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</si>
  <si>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</si>
  <si>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</si>
  <si>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</si>
  <si>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</si>
  <si>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</si>
  <si>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</si>
  <si>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</si>
  <si>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</si>
  <si>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</si>
  <si>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</si>
  <si>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</si>
  <si>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</si>
  <si>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</si>
  <si>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</si>
  <si>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</si>
  <si>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</si>
  <si>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</si>
  <si>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</si>
  <si>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</si>
  <si>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</si>
  <si>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</si>
  <si>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</si>
  <si>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</si>
  <si>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</si>
  <si>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</si>
  <si>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</si>
  <si>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</si>
  <si>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</si>
  <si>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</si>
  <si>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</si>
  <si>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</si>
  <si>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</si>
  <si>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</si>
  <si>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</si>
  <si>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</si>
  <si>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</si>
  <si>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</si>
  <si>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</si>
  <si>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</si>
  <si>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</si>
  <si>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</si>
  <si>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</si>
  <si>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</si>
  <si>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</si>
  <si>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</si>
  <si>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</si>
  <si>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</si>
  <si>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</si>
  <si>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</si>
  <si>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</si>
  <si>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</si>
  <si>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</si>
  <si>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</si>
  <si>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</si>
  <si>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</si>
  <si>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</si>
  <si>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</si>
  <si>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</si>
  <si>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</si>
  <si>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</si>
  <si>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</si>
  <si>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</si>
  <si>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</si>
  <si>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</si>
  <si>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</si>
  <si>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</si>
  <si>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</si>
  <si>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</si>
  <si>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</si>
  <si>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</si>
  <si>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</si>
  <si>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</si>
  <si>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</si>
  <si>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</si>
  <si>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</si>
  <si>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</si>
  <si>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</si>
  <si>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</si>
  <si>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</si>
  <si>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</si>
  <si>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</si>
  <si>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</si>
  <si>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</si>
  <si>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</si>
  <si>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</si>
  <si>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</si>
  <si>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</si>
  <si>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</si>
  <si>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</si>
  <si>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</si>
  <si>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</si>
  <si>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</si>
  <si>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</si>
  <si>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</si>
  <si>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</si>
  <si>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</si>
  <si>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</si>
  <si>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</si>
  <si>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</si>
  <si>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</si>
  <si>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</si>
  <si>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</si>
  <si>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</si>
  <si>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</si>
  <si>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</si>
  <si>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</si>
  <si>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</si>
  <si>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</si>
  <si>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</si>
  <si>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</si>
  <si>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</si>
  <si>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</si>
  <si>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</si>
  <si>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</si>
  <si>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</si>
  <si>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</si>
  <si>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</si>
  <si>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</si>
  <si>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</si>
  <si>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</si>
  <si>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</si>
  <si>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</si>
  <si>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</si>
  <si>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</si>
  <si>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</si>
  <si>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</si>
  <si>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</si>
  <si>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</si>
  <si>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</si>
  <si>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</si>
  <si>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</si>
  <si>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</si>
  <si>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</si>
  <si>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</si>
  <si>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</si>
  <si>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</si>
  <si>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</si>
  <si>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</si>
  <si>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</si>
  <si>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</si>
  <si>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</si>
  <si>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</si>
  <si>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</si>
  <si>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</si>
  <si>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</si>
  <si>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</si>
  <si>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</si>
  <si>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</si>
  <si>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</si>
  <si>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</si>
  <si>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</si>
  <si>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</si>
  <si>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</si>
  <si>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</si>
  <si>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</si>
  <si>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</si>
  <si>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</si>
  <si>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</si>
  <si>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</si>
  <si>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</si>
  <si>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</si>
  <si>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</si>
  <si>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</si>
  <si>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</si>
  <si>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</si>
  <si>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</si>
  <si>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</si>
  <si>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</si>
  <si>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</si>
  <si>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</si>
  <si>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</si>
  <si>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</si>
  <si>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</si>
  <si>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</si>
  <si>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</si>
  <si>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</si>
  <si>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</si>
  <si>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</si>
  <si>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</si>
  <si>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</si>
  <si>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</si>
  <si>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</si>
  <si>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</si>
  <si>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</si>
  <si>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</si>
  <si>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</si>
  <si>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</si>
  <si>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</si>
  <si>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</si>
  <si>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</si>
  <si>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</si>
  <si>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</si>
  <si>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</si>
  <si>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</si>
  <si>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</si>
  <si>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</si>
  <si>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</si>
  <si>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</si>
  <si>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</si>
  <si>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</si>
  <si>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</si>
  <si>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</si>
  <si>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</si>
  <si>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</si>
  <si>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</si>
  <si>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</si>
  <si>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</si>
  <si>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</si>
  <si>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</si>
  <si>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</si>
  <si>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</si>
  <si>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</si>
  <si>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</si>
  <si>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</si>
  <si>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</si>
  <si>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</si>
  <si>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</si>
  <si>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</si>
  <si>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</si>
  <si>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</si>
  <si>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</si>
  <si>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</si>
  <si>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</si>
  <si>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</si>
  <si>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</si>
  <si>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</si>
  <si>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</si>
  <si>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</si>
  <si>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</si>
  <si>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</si>
  <si>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</si>
  <si>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</si>
  <si>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</si>
  <si>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</si>
  <si>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</si>
  <si>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</si>
  <si>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</si>
  <si>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</si>
  <si>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</si>
  <si>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</si>
  <si>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</si>
  <si>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</si>
  <si>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</si>
  <si>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</si>
  <si>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</si>
  <si>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</si>
  <si>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</si>
  <si>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</si>
  <si>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</si>
  <si>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</si>
  <si>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</si>
  <si>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</si>
  <si>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</si>
  <si>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</si>
  <si>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</si>
  <si>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</si>
  <si>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</si>
  <si>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</si>
  <si>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</si>
  <si>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</si>
  <si>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</si>
  <si>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</si>
  <si>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</si>
  <si>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</si>
  <si>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</si>
  <si>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</si>
  <si>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</si>
  <si>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</si>
  <si>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</si>
  <si>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</si>
  <si>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</si>
  <si>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</si>
  <si>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</si>
  <si>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</si>
  <si>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</si>
  <si>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</si>
  <si>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</si>
  <si>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</si>
  <si>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</si>
  <si>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</si>
  <si>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</si>
  <si>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</si>
  <si>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</si>
  <si>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</si>
  <si>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</si>
  <si>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</si>
  <si>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</si>
  <si>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</si>
  <si>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</si>
  <si>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</si>
  <si>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</si>
  <si>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</si>
  <si>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</si>
  <si>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</si>
  <si>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</si>
  <si>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</si>
  <si>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</si>
  <si>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</si>
  <si>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</si>
  <si>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</si>
  <si>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</si>
  <si>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</si>
  <si>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</si>
  <si>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</si>
  <si>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</si>
  <si>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</si>
  <si>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</si>
  <si>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</si>
  <si>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</si>
  <si>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</si>
  <si>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</si>
  <si>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</si>
  <si>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</si>
  <si>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</si>
  <si>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</si>
  <si>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</si>
  <si>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</si>
  <si>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</si>
  <si>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</si>
  <si>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</si>
  <si>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</si>
  <si>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</si>
  <si>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</si>
  <si>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</si>
  <si>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</si>
  <si>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</si>
  <si>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</si>
  <si>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</si>
  <si>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</si>
  <si>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</si>
  <si>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</si>
  <si>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</si>
  <si>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</si>
  <si>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</si>
  <si>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</si>
  <si>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</si>
  <si>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</si>
  <si>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</si>
  <si>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</si>
  <si>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</si>
  <si>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</si>
  <si>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</si>
  <si>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</si>
  <si>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</si>
  <si>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</si>
  <si>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</si>
  <si>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</si>
  <si>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</si>
  <si>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</si>
  <si>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</si>
  <si>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</si>
  <si>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</si>
  <si>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</si>
  <si>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</si>
  <si>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</si>
  <si>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</si>
  <si>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</si>
  <si>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</si>
  <si>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</si>
  <si>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</si>
  <si>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</si>
  <si>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</si>
  <si>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</si>
  <si>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</si>
  <si>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</si>
  <si>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</si>
  <si>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</si>
  <si>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</si>
  <si>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</si>
  <si>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</si>
  <si>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</si>
  <si>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</si>
  <si>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</si>
  <si>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</si>
  <si>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</si>
  <si>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</si>
  <si>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</si>
  <si>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</si>
  <si>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</si>
  <si>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</si>
  <si>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</si>
  <si>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</si>
  <si>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</si>
  <si>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</si>
  <si>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</si>
  <si>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</si>
  <si>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</si>
  <si>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</si>
  <si>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</si>
  <si>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</si>
  <si>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</si>
  <si>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</si>
  <si>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</si>
  <si>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</si>
  <si>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</si>
  <si>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</si>
  <si>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</si>
  <si>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</si>
  <si>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</si>
  <si>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</si>
  <si>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</si>
  <si>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</si>
  <si>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</si>
  <si>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</si>
  <si>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</si>
  <si>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</si>
  <si>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</si>
  <si>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</si>
  <si>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</si>
  <si>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</si>
  <si>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</si>
  <si>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</si>
  <si>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</si>
  <si>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</si>
  <si>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</si>
  <si>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</si>
  <si>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</si>
  <si>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</si>
  <si>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</si>
  <si>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</si>
  <si>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</si>
  <si>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</si>
  <si>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</si>
  <si>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</si>
  <si>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</si>
  <si>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</si>
  <si>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</si>
  <si>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</si>
  <si>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</si>
  <si>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</si>
  <si>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</si>
  <si>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</si>
  <si>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</si>
  <si>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</si>
  <si>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</si>
  <si>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</si>
  <si>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</si>
  <si>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</si>
  <si>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</si>
  <si>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</si>
  <si>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</si>
  <si>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</si>
  <si>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</si>
  <si>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</si>
  <si>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</si>
  <si>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</si>
  <si>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</si>
  <si>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</si>
  <si>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</si>
  <si>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</si>
  <si>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</si>
  <si>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</si>
  <si>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</si>
  <si>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</si>
  <si>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</si>
  <si>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</si>
  <si>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</si>
  <si>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</si>
  <si>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</si>
  <si>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</si>
  <si>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</si>
  <si>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</si>
  <si>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</si>
  <si>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</si>
  <si>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</si>
  <si>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</si>
  <si>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</si>
  <si>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</si>
  <si>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</si>
  <si>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</si>
  <si>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</si>
  <si>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</si>
  <si>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</si>
  <si>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</si>
  <si>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</si>
  <si>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</si>
  <si>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</si>
  <si>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</si>
  <si>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</si>
  <si>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</si>
  <si>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</si>
  <si>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</si>
  <si>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</si>
  <si>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</si>
  <si>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</si>
  <si>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</si>
  <si>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</si>
  <si>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</si>
  <si>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</si>
  <si>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</si>
  <si>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</si>
  <si>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</si>
  <si>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</si>
  <si>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</si>
  <si>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</si>
  <si>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</si>
  <si>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</si>
  <si>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</si>
  <si>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</si>
  <si>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</si>
  <si>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</si>
  <si>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</si>
  <si>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</si>
  <si>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</si>
  <si>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</si>
  <si>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</si>
  <si>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</si>
  <si>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</si>
  <si>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</si>
  <si>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</si>
  <si>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</si>
  <si>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</si>
  <si>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</si>
  <si>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</si>
  <si>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</si>
  <si>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</si>
  <si>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</si>
  <si>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</si>
  <si>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</si>
  <si>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</si>
  <si>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</si>
  <si>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</si>
  <si>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</si>
  <si>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</si>
  <si>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</si>
  <si>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</si>
  <si>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</si>
  <si>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</si>
  <si>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</si>
  <si>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</si>
  <si>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</si>
  <si>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</si>
  <si>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</si>
  <si>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</si>
  <si>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</si>
  <si>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</si>
  <si>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</si>
  <si>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</si>
  <si>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</si>
  <si>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</si>
  <si>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</si>
  <si>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</si>
  <si>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</si>
  <si>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</si>
  <si>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</si>
  <si>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</si>
  <si>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</si>
  <si>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</si>
  <si>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</si>
  <si>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</si>
  <si>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</si>
  <si>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</si>
  <si>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</si>
  <si>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</si>
  <si>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</si>
  <si>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</si>
  <si>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</si>
  <si>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</si>
  <si>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</si>
  <si>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</si>
  <si>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</si>
  <si>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</si>
  <si>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</si>
  <si>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</si>
  <si>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</si>
  <si>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</si>
  <si>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</si>
  <si>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</si>
  <si>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</si>
  <si>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</si>
  <si>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</si>
  <si>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</si>
  <si>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</si>
  <si>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</si>
  <si>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</si>
  <si>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</si>
  <si>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</si>
  <si>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</si>
  <si>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</si>
  <si>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</si>
  <si>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</si>
  <si>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</si>
  <si>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</si>
  <si>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</si>
  <si>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</si>
  <si>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</si>
  <si>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</si>
  <si>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</si>
  <si>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</si>
  <si>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</si>
  <si>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</si>
  <si>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</si>
  <si>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</si>
  <si>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</si>
  <si>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</si>
  <si>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</si>
  <si>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</si>
  <si>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</si>
  <si>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</si>
  <si>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</si>
  <si>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</si>
  <si>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</si>
  <si>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</si>
  <si>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</si>
  <si>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</si>
  <si>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</si>
  <si>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</si>
  <si>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</si>
  <si>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</si>
  <si>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</si>
  <si>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</si>
  <si>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</si>
  <si>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</si>
  <si>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</si>
  <si>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</si>
  <si>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</si>
  <si>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</si>
  <si>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</si>
  <si>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</si>
  <si>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</si>
  <si>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</si>
  <si>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</si>
  <si>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</si>
  <si>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</si>
  <si>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</si>
  <si>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</si>
  <si>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</si>
  <si>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</si>
  <si>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</si>
  <si>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</si>
  <si>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</si>
  <si>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</si>
  <si>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</si>
  <si>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</si>
  <si>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</si>
  <si>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</si>
  <si>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</si>
  <si>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</si>
  <si>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</si>
  <si>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</si>
  <si>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</si>
  <si>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</si>
  <si>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</si>
  <si>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</si>
  <si>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</si>
  <si>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</si>
  <si>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</si>
  <si>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</si>
  <si>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</si>
  <si>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</si>
  <si>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</si>
  <si>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</si>
  <si>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</si>
  <si>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</si>
  <si>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</si>
  <si>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</si>
  <si>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</si>
  <si>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</si>
  <si>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</si>
  <si>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</si>
  <si>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</si>
  <si>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</si>
  <si>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</si>
  <si>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</si>
  <si>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</si>
  <si>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</si>
  <si>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</si>
  <si>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</si>
  <si>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</si>
  <si>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</si>
  <si>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</si>
  <si>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</si>
  <si>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</si>
  <si>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</si>
  <si>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</si>
  <si>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</si>
  <si>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</si>
  <si>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</si>
  <si>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</si>
  <si>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</si>
  <si>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</si>
  <si>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</si>
  <si>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</si>
  <si>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</si>
  <si>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</si>
  <si>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</si>
  <si>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</si>
  <si>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</si>
  <si>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</si>
  <si>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</si>
  <si>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</si>
  <si>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</si>
  <si>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</si>
  <si>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</si>
  <si>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</si>
  <si>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</si>
  <si>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</si>
  <si>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</si>
  <si>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</si>
  <si>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</si>
  <si>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</si>
  <si>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</si>
  <si>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</si>
  <si>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</si>
  <si>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</si>
  <si>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</si>
  <si>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</si>
  <si>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</si>
  <si>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</si>
  <si>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</si>
  <si>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</si>
  <si>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</si>
  <si>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</si>
  <si>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</si>
  <si>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</si>
  <si>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</si>
  <si>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</si>
  <si>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</si>
  <si>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</si>
  <si>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</si>
  <si>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</si>
  <si>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</si>
  <si>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</si>
  <si>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</si>
  <si>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</si>
  <si>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</si>
  <si>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</si>
  <si>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</si>
  <si>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</si>
  <si>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</si>
  <si>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</si>
  <si>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</si>
  <si>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</si>
  <si>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</si>
  <si>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</si>
  <si>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</si>
  <si>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</si>
  <si>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</si>
  <si>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</si>
  <si>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</si>
  <si>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</si>
  <si>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</si>
  <si>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</si>
  <si>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</si>
  <si>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</si>
  <si>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</si>
  <si>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</si>
  <si>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</si>
  <si>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</si>
  <si>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</si>
  <si>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</si>
  <si>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</si>
  <si>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</si>
  <si>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</si>
  <si>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</si>
  <si>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</si>
  <si>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</si>
  <si>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</si>
  <si>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</si>
  <si>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</si>
  <si>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</si>
  <si>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</si>
  <si>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</si>
  <si>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</si>
  <si>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</si>
  <si>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</si>
  <si>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</si>
  <si>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</si>
  <si>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</si>
  <si>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</si>
  <si>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</si>
  <si>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</si>
  <si>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</si>
  <si>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</si>
  <si>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</si>
  <si>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</si>
  <si>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</si>
  <si>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</si>
  <si>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</si>
  <si>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</si>
  <si>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</si>
  <si>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</si>
  <si>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</si>
  <si>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</si>
  <si>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</si>
  <si>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</si>
  <si>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</si>
  <si>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</si>
  <si>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</si>
  <si>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</si>
  <si>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</si>
  <si>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</si>
  <si>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</si>
  <si>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</si>
  <si>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</si>
  <si>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</si>
  <si>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</si>
  <si>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</si>
  <si>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</si>
  <si>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</si>
  <si>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</si>
  <si>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</si>
  <si>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</si>
  <si>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</si>
  <si>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</si>
  <si>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</si>
  <si>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</si>
  <si>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</si>
  <si>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</si>
  <si>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</si>
  <si>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</si>
  <si>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</si>
  <si>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</si>
  <si>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</si>
  <si>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</si>
  <si>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</si>
  <si>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</si>
  <si>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</si>
  <si>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</si>
  <si>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</si>
  <si>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</si>
  <si>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</si>
  <si>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</si>
  <si>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</si>
  <si>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</si>
  <si>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</si>
  <si>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</si>
  <si>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</si>
  <si>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</si>
  <si>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</si>
  <si>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</si>
  <si>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</si>
  <si>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</si>
  <si>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</si>
  <si>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</si>
  <si>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</si>
  <si>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</si>
  <si>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</si>
  <si>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</si>
  <si>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</si>
  <si>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</si>
  <si>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</si>
  <si>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</si>
  <si>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</si>
  <si>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</si>
  <si>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</si>
  <si>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</si>
  <si>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</si>
  <si>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</si>
  <si>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</si>
  <si>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</si>
  <si>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</si>
  <si>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</si>
  <si>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</si>
  <si>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</si>
  <si>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</si>
  <si>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</si>
  <si>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</si>
  <si>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</si>
  <si>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</si>
  <si>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</si>
  <si>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</si>
  <si>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</si>
  <si>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</si>
  <si>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</si>
  <si>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</si>
  <si>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</si>
  <si>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</si>
  <si>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</si>
  <si>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</si>
  <si>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</si>
  <si>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</si>
  <si>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</si>
  <si>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</si>
  <si>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</si>
  <si>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</si>
  <si>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</si>
  <si>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</si>
  <si>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</si>
  <si>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</si>
  <si>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</si>
  <si>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</si>
  <si>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</si>
  <si>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</si>
  <si>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</si>
  <si>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</si>
  <si>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</si>
  <si>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</si>
  <si>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</si>
  <si>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</si>
  <si>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</si>
  <si>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</si>
  <si>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</si>
  <si>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</si>
  <si>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</si>
  <si>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</si>
  <si>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</si>
  <si>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</si>
  <si>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</si>
  <si>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</si>
  <si>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</si>
  <si>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</si>
  <si>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</si>
  <si>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</si>
  <si>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</si>
  <si>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</si>
  <si>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</si>
  <si>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</si>
  <si>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</si>
  <si>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</si>
  <si>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</si>
  <si>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</si>
  <si>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</si>
  <si>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</si>
  <si>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</si>
  <si>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</si>
  <si>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</si>
  <si>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</si>
  <si>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</si>
  <si>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</si>
  <si>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</si>
  <si>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</si>
  <si>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</si>
  <si>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</si>
  <si>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</si>
  <si>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</si>
  <si>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</si>
  <si>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</si>
  <si>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</si>
  <si>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</si>
  <si>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</si>
  <si>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</si>
  <si>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</si>
  <si>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</si>
  <si>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</si>
  <si>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</si>
  <si>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</si>
  <si>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</si>
  <si>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</si>
  <si>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</si>
  <si>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</si>
  <si>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</si>
  <si>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</si>
  <si>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</si>
  <si>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</si>
  <si>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</si>
  <si>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</si>
  <si>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</si>
  <si>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</si>
  <si>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</si>
  <si>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</si>
  <si>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</si>
  <si>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</si>
  <si>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</si>
  <si>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</si>
  <si>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</si>
  <si>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</si>
  <si>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</si>
  <si>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</si>
  <si>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</si>
  <si>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</si>
  <si>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</si>
  <si>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</si>
  <si>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</si>
  <si>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</si>
  <si>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</si>
  <si>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</si>
  <si>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</si>
  <si>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</si>
  <si>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</si>
  <si>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</si>
  <si>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</si>
  <si>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</si>
  <si>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</si>
  <si>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</si>
  <si>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</si>
  <si>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</si>
  <si>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</si>
  <si>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</si>
  <si>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</si>
  <si>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</si>
  <si>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</si>
  <si>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</si>
  <si>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</si>
  <si>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</si>
  <si>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</si>
  <si>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</si>
  <si>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</si>
  <si>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</si>
  <si>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</si>
  <si>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</si>
  <si>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</si>
  <si>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</si>
  <si>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</si>
  <si>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</si>
  <si>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</si>
  <si>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</si>
  <si>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</si>
  <si>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</si>
  <si>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</si>
  <si>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</si>
  <si>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</si>
  <si>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</si>
  <si>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</si>
  <si>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</si>
  <si>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</si>
  <si>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</si>
  <si>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</si>
  <si>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</si>
  <si>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</si>
  <si>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</si>
  <si>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</si>
  <si>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</si>
  <si>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</si>
  <si>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</si>
  <si>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</si>
  <si>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</si>
  <si>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</si>
  <si>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</si>
  <si>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</si>
  <si>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</si>
  <si>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</si>
  <si>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</si>
  <si>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</si>
  <si>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</si>
  <si>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</si>
  <si>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</si>
  <si>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</si>
  <si>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</si>
  <si>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</si>
  <si>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</si>
  <si>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</si>
  <si>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</si>
  <si>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</si>
  <si>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</si>
  <si>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</si>
  <si>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</si>
  <si>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</si>
  <si>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</si>
  <si>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</si>
  <si>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</si>
  <si>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</si>
  <si>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</si>
  <si>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</si>
  <si>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</si>
  <si>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</si>
  <si>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</si>
  <si>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</si>
  <si>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</si>
  <si>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</si>
  <si>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</si>
  <si>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</si>
  <si>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</si>
  <si>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</si>
  <si>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</si>
  <si>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</si>
  <si>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</si>
  <si>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</si>
  <si>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</si>
  <si>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</si>
  <si>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</si>
  <si>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</si>
  <si>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</si>
  <si>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</si>
  <si>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</si>
  <si>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</si>
  <si>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</si>
  <si>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</si>
  <si>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</si>
  <si>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</si>
  <si>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</si>
  <si>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</si>
  <si>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</si>
  <si>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</si>
  <si>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</si>
  <si>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</si>
  <si>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</si>
  <si>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</si>
  <si>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</si>
  <si>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</si>
  <si>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</si>
  <si>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</si>
  <si>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</si>
  <si>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</si>
  <si>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</si>
  <si>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</si>
  <si>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</si>
  <si>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</si>
  <si>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</si>
  <si>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</si>
  <si>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</si>
  <si>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</si>
  <si>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</si>
  <si>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</si>
  <si>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</si>
  <si>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</si>
  <si>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</si>
  <si>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</si>
  <si>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</si>
  <si>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</si>
  <si>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</si>
  <si>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</si>
  <si>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</si>
  <si>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</si>
  <si>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</si>
  <si>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</si>
  <si>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</si>
  <si>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</si>
  <si>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</si>
  <si>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</si>
  <si>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</si>
  <si>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</si>
  <si>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</si>
  <si>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</si>
  <si>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</si>
  <si>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</si>
  <si>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</si>
  <si>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</si>
  <si>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</si>
  <si>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</si>
  <si>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</si>
  <si>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</si>
  <si>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</si>
  <si>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</si>
  <si>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</si>
  <si>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</si>
  <si>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</si>
  <si>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</si>
  <si>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</si>
  <si>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</si>
  <si>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</si>
  <si>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</si>
  <si>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</si>
  <si>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</si>
  <si>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</si>
  <si>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</si>
  <si>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</si>
  <si>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</si>
  <si>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</si>
  <si>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</si>
  <si>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</si>
  <si>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</si>
  <si>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</si>
  <si>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</si>
  <si>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</si>
  <si>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</si>
  <si>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</si>
  <si>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</si>
  <si>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</si>
  <si>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</si>
  <si>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</si>
  <si>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</si>
  <si>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</si>
  <si>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</si>
  <si>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</si>
  <si>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</si>
  <si>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</si>
  <si>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</si>
  <si>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</si>
  <si>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</si>
  <si>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</si>
  <si>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</si>
  <si>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</si>
  <si>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</si>
  <si>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</si>
  <si>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</si>
  <si>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</si>
  <si>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</si>
  <si>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</si>
  <si>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</si>
  <si>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</si>
  <si>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</si>
  <si>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</si>
  <si>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</si>
  <si>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</si>
  <si>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</si>
  <si>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</si>
  <si>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</si>
  <si>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</si>
  <si>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</si>
  <si>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</si>
  <si>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</si>
  <si>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</si>
  <si>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</si>
  <si>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</si>
  <si>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</si>
  <si>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</si>
  <si>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</si>
  <si>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</si>
  <si>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</si>
  <si>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</si>
  <si>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</si>
  <si>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</si>
  <si>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</si>
  <si>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</si>
  <si>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</si>
  <si>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</si>
  <si>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</si>
  <si>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</si>
  <si>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</si>
  <si>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</si>
  <si>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</si>
  <si>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</si>
  <si>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</si>
  <si>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</si>
  <si>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</si>
  <si>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</si>
  <si>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</si>
  <si>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</si>
  <si>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</si>
  <si>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</si>
  <si>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</si>
  <si>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</si>
  <si>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</si>
  <si>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</si>
  <si>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</si>
  <si>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</si>
  <si>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</si>
  <si>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</si>
  <si>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</si>
  <si>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</si>
  <si>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</si>
  <si>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</si>
  <si>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</si>
  <si>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</si>
  <si>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</si>
  <si>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</si>
  <si>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</si>
  <si>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</si>
  <si>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</si>
  <si>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</si>
  <si>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</si>
  <si>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</si>
  <si>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</si>
  <si>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</si>
  <si>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</si>
  <si>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</si>
  <si>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</si>
  <si>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</si>
  <si>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</si>
  <si>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</si>
  <si>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</si>
  <si>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</si>
  <si>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</si>
  <si>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</si>
  <si>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</si>
  <si>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</si>
  <si>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</si>
  <si>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</si>
  <si>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</si>
  <si>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</si>
  <si>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</si>
  <si>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</si>
  <si>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</si>
  <si>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</si>
  <si>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</si>
  <si>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</si>
  <si>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</si>
  <si>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</si>
  <si>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</si>
  <si>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</si>
  <si>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</si>
  <si>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</si>
  <si>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</si>
  <si>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</si>
  <si>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</si>
  <si>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</si>
  <si>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</si>
  <si>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</si>
  <si>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</si>
  <si>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</si>
  <si>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</si>
  <si>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</si>
  <si>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</si>
  <si>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</si>
  <si>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</si>
  <si>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</si>
  <si>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</si>
  <si>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</si>
  <si>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</si>
  <si>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</si>
  <si>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</si>
  <si>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</si>
  <si>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</si>
  <si>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</si>
  <si>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</si>
  <si>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</si>
  <si>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</si>
  <si>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</si>
  <si>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</si>
  <si>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</si>
  <si>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</si>
  <si>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</si>
  <si>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</si>
  <si>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</si>
  <si>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</si>
  <si>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</si>
  <si>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</si>
  <si>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</si>
  <si>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</si>
  <si>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</si>
  <si>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</si>
  <si>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</si>
  <si>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</si>
  <si>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</si>
  <si>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</si>
  <si>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</si>
  <si>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</si>
  <si>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</si>
  <si>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</si>
  <si>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</si>
  <si>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</si>
  <si>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</si>
  <si>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</si>
  <si>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</si>
  <si>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</si>
  <si>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</si>
  <si>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</si>
  <si>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</si>
  <si>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</si>
  <si>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</si>
  <si>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</si>
  <si>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</si>
  <si>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</si>
  <si>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</si>
  <si>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</si>
  <si>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</si>
  <si>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</si>
  <si>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</si>
  <si>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</si>
  <si>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</si>
  <si>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</si>
  <si>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</si>
  <si>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</si>
  <si>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</si>
  <si>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</si>
  <si>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</si>
  <si>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</si>
  <si>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</si>
  <si>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</si>
  <si>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</si>
  <si>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</si>
  <si>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</si>
  <si>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</si>
  <si>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</si>
  <si>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</si>
  <si>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</si>
  <si>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</si>
  <si>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</si>
  <si>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</si>
  <si>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</si>
  <si>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</si>
  <si>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</si>
  <si>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</si>
  <si>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</si>
  <si>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</si>
  <si>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</si>
  <si>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</si>
  <si>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</si>
  <si>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</si>
  <si>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</si>
  <si>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</si>
  <si>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</si>
  <si>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</si>
  <si>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</si>
  <si>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</si>
  <si>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</si>
  <si>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</si>
  <si>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</si>
  <si>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</si>
  <si>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</si>
  <si>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</si>
  <si>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</si>
  <si>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</si>
  <si>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</si>
  <si>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</si>
  <si>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</si>
  <si>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</si>
  <si>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</si>
  <si>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</si>
  <si>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</si>
  <si>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</si>
  <si>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</si>
  <si>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</si>
  <si>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</si>
  <si>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</si>
  <si>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</si>
  <si>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</si>
  <si>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</si>
  <si>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</si>
  <si>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</si>
  <si>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</si>
  <si>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</si>
  <si>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</si>
  <si>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</si>
  <si>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</si>
  <si>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</si>
  <si>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</si>
  <si>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</si>
  <si>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</si>
  <si>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</si>
  <si>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</si>
  <si>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</si>
  <si>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</si>
  <si>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</si>
  <si>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</si>
  <si>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</si>
  <si>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</si>
  <si>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</si>
  <si>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</si>
  <si>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</si>
  <si>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</si>
  <si>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</si>
  <si>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</si>
  <si>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</si>
  <si>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</si>
  <si>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</si>
  <si>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</si>
  <si>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</si>
  <si>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</si>
  <si>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</si>
  <si>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</si>
  <si>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</si>
  <si>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</si>
  <si>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</si>
  <si>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</si>
  <si>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</si>
  <si>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</si>
  <si>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</si>
  <si>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</si>
  <si>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</si>
  <si>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</si>
  <si>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</si>
  <si>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</si>
  <si>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</si>
  <si>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</si>
  <si>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</si>
  <si>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</si>
  <si>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</si>
  <si>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</si>
  <si>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</si>
  <si>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</si>
  <si>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</si>
  <si>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</si>
  <si>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</si>
  <si>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</si>
  <si>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</si>
  <si>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</si>
  <si>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</si>
  <si>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</si>
  <si>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</si>
  <si>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</si>
  <si>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</si>
  <si>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</si>
  <si>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</si>
  <si>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</si>
  <si>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</si>
  <si>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</si>
  <si>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</si>
  <si>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</si>
  <si>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</si>
  <si>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</si>
  <si>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</si>
  <si>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</si>
  <si>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</si>
  <si>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</si>
  <si>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</si>
  <si>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</si>
  <si>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</si>
  <si>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</si>
  <si>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</si>
  <si>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</si>
  <si>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</si>
  <si>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</si>
  <si>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</si>
  <si>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</si>
  <si>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</si>
  <si>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</si>
  <si>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</si>
  <si>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</si>
  <si>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</si>
  <si>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</si>
  <si>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</si>
  <si>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</si>
  <si>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</si>
  <si>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</si>
  <si>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</si>
  <si>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</si>
  <si>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</si>
  <si>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</si>
  <si>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</si>
  <si>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</si>
  <si>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</si>
  <si>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</si>
  <si>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</si>
  <si>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</si>
  <si>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</si>
  <si>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</si>
  <si>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</si>
  <si>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</si>
  <si>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</si>
  <si>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</si>
  <si>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</si>
  <si>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</si>
  <si>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</si>
  <si>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</si>
  <si>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</si>
  <si>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</si>
  <si>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</si>
  <si>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</si>
  <si>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</si>
  <si>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</si>
  <si>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</si>
  <si>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</si>
  <si>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</si>
  <si>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</si>
  <si>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</si>
  <si>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</si>
  <si>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</si>
  <si>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</si>
  <si>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</si>
  <si>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</si>
  <si>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</si>
  <si>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</si>
  <si>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</si>
  <si>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</si>
  <si>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</si>
  <si>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</si>
  <si>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</si>
  <si>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</si>
  <si>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</si>
  <si>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</si>
  <si>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</si>
  <si>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</si>
  <si>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</si>
  <si>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</si>
  <si>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</si>
  <si>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</si>
  <si>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</si>
  <si>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</si>
  <si>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</si>
  <si>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</si>
  <si>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</si>
  <si>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</si>
  <si>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</si>
  <si>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</si>
  <si>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</si>
  <si>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</si>
  <si>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</si>
  <si>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</si>
  <si>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</si>
  <si>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</si>
  <si>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</si>
  <si>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</si>
  <si>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</si>
  <si>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</si>
  <si>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</si>
  <si>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</si>
  <si>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</si>
  <si>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</si>
  <si>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</si>
  <si>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</si>
  <si>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</si>
  <si>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</si>
  <si>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</si>
  <si>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</si>
  <si>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</si>
  <si>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</si>
  <si>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</si>
  <si>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</si>
  <si>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</si>
  <si>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</si>
  <si>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</si>
  <si>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</si>
  <si>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</si>
  <si>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</si>
  <si>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</si>
  <si>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</si>
  <si>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</si>
  <si>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</si>
  <si>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</si>
  <si>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</si>
  <si>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</si>
  <si>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</si>
  <si>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</si>
  <si>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</si>
  <si>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</si>
  <si>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</si>
  <si>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</si>
  <si>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</si>
  <si>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</si>
  <si>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</si>
  <si>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</si>
  <si>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</si>
  <si>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</si>
  <si>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</si>
  <si>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</si>
  <si>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</si>
  <si>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</si>
  <si>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</si>
  <si>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</si>
  <si>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</si>
  <si>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</si>
  <si>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</si>
  <si>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</si>
  <si>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</si>
  <si>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</si>
  <si>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</si>
  <si>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</si>
  <si>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</si>
  <si>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</si>
  <si>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</si>
  <si>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</si>
  <si>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</si>
  <si>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</si>
  <si>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</si>
  <si>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</si>
  <si>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</si>
  <si>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</si>
  <si>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</si>
  <si>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</si>
  <si>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</si>
  <si>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</si>
  <si>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</si>
  <si>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</si>
  <si>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</si>
  <si>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</si>
  <si>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</si>
  <si>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</si>
  <si>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</si>
  <si>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</si>
  <si>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</si>
  <si>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</si>
  <si>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</si>
  <si>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</si>
  <si>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</si>
  <si>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</si>
  <si>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</si>
  <si>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</si>
  <si>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</si>
  <si>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</si>
  <si>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</si>
  <si>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</si>
  <si>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</si>
  <si>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</si>
  <si>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</si>
  <si>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</si>
  <si>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</si>
  <si>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</si>
  <si>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</si>
  <si>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</si>
  <si>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</si>
  <si>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</si>
  <si>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</si>
  <si>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</si>
  <si>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</si>
  <si>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</si>
  <si>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</si>
  <si>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</si>
  <si>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</si>
  <si>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</si>
  <si>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</si>
  <si>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</si>
  <si>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</si>
  <si>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</si>
  <si>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</si>
  <si>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</si>
  <si>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</si>
  <si>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</si>
  <si>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</si>
  <si>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</si>
  <si>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</si>
  <si>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</si>
  <si>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</si>
  <si>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</si>
  <si>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</si>
  <si>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</si>
  <si>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</si>
  <si>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</si>
  <si>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</si>
  <si>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</si>
  <si>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</si>
  <si>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</si>
  <si>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</si>
  <si>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</si>
  <si>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</si>
  <si>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</si>
  <si>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</si>
  <si>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</si>
  <si>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</si>
  <si>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</si>
  <si>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</si>
  <si>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</si>
  <si>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</si>
  <si>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</si>
  <si>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</si>
  <si>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</si>
  <si>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</si>
  <si>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</si>
  <si>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</si>
  <si>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</si>
  <si>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</si>
  <si>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</si>
  <si>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</si>
  <si>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</si>
  <si>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</si>
  <si>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</si>
  <si>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</si>
  <si>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</si>
  <si>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</si>
  <si>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</si>
  <si>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</si>
  <si>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</si>
  <si>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</si>
  <si>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</si>
  <si>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</si>
  <si>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</si>
  <si>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</si>
  <si>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</si>
  <si>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</si>
  <si>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</si>
  <si>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</si>
  <si>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</si>
  <si>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</si>
  <si>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</si>
  <si>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</si>
  <si>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</si>
  <si>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</si>
  <si>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</si>
  <si>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</si>
  <si>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</si>
  <si>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</si>
  <si>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</si>
  <si>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</si>
  <si>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</si>
  <si>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</si>
  <si>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</si>
  <si>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</si>
  <si>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</si>
  <si>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</si>
  <si>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</si>
  <si>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</si>
  <si>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</si>
  <si>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</si>
  <si>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</si>
  <si>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</si>
  <si>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</si>
  <si>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</si>
  <si>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</si>
  <si>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</si>
  <si>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</si>
  <si>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</si>
  <si>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</si>
  <si>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</si>
  <si>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</si>
  <si>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</si>
  <si>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</si>
  <si>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</si>
  <si>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</si>
  <si>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</si>
  <si>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</si>
  <si>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</si>
  <si>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</si>
  <si>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</si>
  <si>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</si>
  <si>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</si>
  <si>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</si>
  <si>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</si>
  <si>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</si>
  <si>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</si>
  <si>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</si>
  <si>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</si>
  <si>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</si>
  <si>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</si>
  <si>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</si>
  <si>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</si>
  <si>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</si>
  <si>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</si>
  <si>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</si>
  <si>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</si>
  <si>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</si>
  <si>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</si>
  <si>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</si>
  <si>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</si>
  <si>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</si>
  <si>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</si>
  <si>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</si>
  <si>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</si>
  <si>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</si>
  <si>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</si>
  <si>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</si>
  <si>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</si>
  <si>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</si>
  <si>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</si>
  <si>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</si>
  <si>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</si>
  <si>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</si>
  <si>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</si>
  <si>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</si>
  <si>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</si>
  <si>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</si>
  <si>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</si>
  <si>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</si>
  <si>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</si>
  <si>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</si>
  <si>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</si>
  <si>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</si>
  <si>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</si>
  <si>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</si>
  <si>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</si>
  <si>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</si>
  <si>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</si>
  <si>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</si>
  <si>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</si>
  <si>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</si>
  <si>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</si>
  <si>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</si>
  <si>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</si>
  <si>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</si>
  <si>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</si>
  <si>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</si>
  <si>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</si>
  <si>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</si>
  <si>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</si>
  <si>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</si>
  <si>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</si>
  <si>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</si>
  <si>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</si>
  <si>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</si>
  <si>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</si>
  <si>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</si>
  <si>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</si>
  <si>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</si>
  <si>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</si>
  <si>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</si>
  <si>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</si>
  <si>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</si>
  <si>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</si>
  <si>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</si>
  <si>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</si>
  <si>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</si>
  <si>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</si>
  <si>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</si>
  <si>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</si>
  <si>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</si>
  <si>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</si>
  <si>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</si>
  <si>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</si>
  <si>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</si>
  <si>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</si>
  <si>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</si>
  <si>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</si>
  <si>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</si>
  <si>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</si>
  <si>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</si>
  <si>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</si>
  <si>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</si>
  <si>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</si>
  <si>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</si>
  <si>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</si>
  <si>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</si>
  <si>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</si>
  <si>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</si>
  <si>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</si>
  <si>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</si>
  <si>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</si>
  <si>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</si>
  <si>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</si>
  <si>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</si>
  <si>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</si>
  <si>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</si>
  <si>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</si>
  <si>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</si>
  <si>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</si>
  <si>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</si>
  <si>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</si>
  <si>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</si>
  <si>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</si>
  <si>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</si>
  <si>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</si>
  <si>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</si>
  <si>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</si>
  <si>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</si>
  <si>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</si>
  <si>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</si>
  <si>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</si>
  <si>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</si>
  <si>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</si>
  <si>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</si>
  <si>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</si>
  <si>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</si>
  <si>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</si>
  <si>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</si>
  <si>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</si>
  <si>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</si>
  <si>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</si>
  <si>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</si>
  <si>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</si>
  <si>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</si>
  <si>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</si>
  <si>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</si>
  <si>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</si>
  <si>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</si>
  <si>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</si>
  <si>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</si>
  <si>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</si>
  <si>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</si>
  <si>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</si>
  <si>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</si>
  <si>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</si>
  <si>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</si>
  <si>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</si>
  <si>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</si>
  <si>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</si>
  <si>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</si>
  <si>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</si>
  <si>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</si>
  <si>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</si>
  <si>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</si>
  <si>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</si>
  <si>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</si>
  <si>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</si>
  <si>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</si>
  <si>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</si>
  <si>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</si>
  <si>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</si>
  <si>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</si>
  <si>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</si>
  <si>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</si>
  <si>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</si>
  <si>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</si>
  <si>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</si>
  <si>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</si>
  <si>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</si>
  <si>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</si>
  <si>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</si>
  <si>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</si>
  <si>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</si>
  <si>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</si>
  <si>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</si>
  <si>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</si>
  <si>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</si>
  <si>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</si>
  <si>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</si>
  <si>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</si>
  <si>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</si>
  <si>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</si>
  <si>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</si>
  <si>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</si>
  <si>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</si>
  <si>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</si>
  <si>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</si>
  <si>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</si>
  <si>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</si>
  <si>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</si>
  <si>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</si>
  <si>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</si>
  <si>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</si>
  <si>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</si>
  <si>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</si>
  <si>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</si>
  <si>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</si>
  <si>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</si>
  <si>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</si>
  <si>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</si>
  <si>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</si>
  <si>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</si>
  <si>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</si>
  <si>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</si>
  <si>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</si>
  <si>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</si>
  <si>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</si>
  <si>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</si>
  <si>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</si>
  <si>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</si>
  <si>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</si>
  <si>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</si>
  <si>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</si>
  <si>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</si>
  <si>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</si>
  <si>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</si>
  <si>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</si>
  <si>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</si>
  <si>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</si>
  <si>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</si>
  <si>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</si>
  <si>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</si>
  <si>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</si>
  <si>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</si>
  <si>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</si>
  <si>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</si>
  <si>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</si>
  <si>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</si>
  <si>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</si>
  <si>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</si>
  <si>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</si>
  <si>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</si>
  <si>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</si>
  <si>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</si>
  <si>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</si>
  <si>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</si>
  <si>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</si>
  <si>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</si>
  <si>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</si>
  <si>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</si>
  <si>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</si>
  <si>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</si>
  <si>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</si>
  <si>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</si>
  <si>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</si>
  <si>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</si>
  <si>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</si>
  <si>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</si>
  <si>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</si>
  <si>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</si>
  <si>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</si>
  <si>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</si>
  <si>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</si>
  <si>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</si>
  <si>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</si>
  <si>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</si>
  <si>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</si>
  <si>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</si>
  <si>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</si>
  <si>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</si>
  <si>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</si>
  <si>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</si>
  <si>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</si>
  <si>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</si>
  <si>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</si>
  <si>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</si>
  <si>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</si>
  <si>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</si>
  <si>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</si>
  <si>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</si>
  <si>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</si>
  <si>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</si>
  <si>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</si>
  <si>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</si>
  <si>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</si>
  <si>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</si>
  <si>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</si>
  <si>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</si>
  <si>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</si>
  <si>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</si>
  <si>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</si>
  <si>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</si>
  <si>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</si>
  <si>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</si>
  <si>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</si>
  <si>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</si>
  <si>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</si>
  <si>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</si>
  <si>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</si>
  <si>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</si>
  <si>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</si>
  <si>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</si>
  <si>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</si>
  <si>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</si>
  <si>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</si>
  <si>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</si>
  <si>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</si>
  <si>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</si>
  <si>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</si>
  <si>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</si>
  <si>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</si>
  <si>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</si>
  <si>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</si>
  <si>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</si>
  <si>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</si>
  <si>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</si>
  <si>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</si>
  <si>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</si>
  <si>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</si>
  <si>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</si>
  <si>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</si>
  <si>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</si>
  <si>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</si>
  <si>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</si>
  <si>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</si>
  <si>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</si>
  <si>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</si>
  <si>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</si>
  <si>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</si>
  <si>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</si>
  <si>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</si>
  <si>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</si>
  <si>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</si>
  <si>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</si>
  <si>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</si>
  <si>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</si>
  <si>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</si>
  <si>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</si>
  <si>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</si>
  <si>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</si>
  <si>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</si>
  <si>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</si>
  <si>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</si>
  <si>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</si>
  <si>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</si>
  <si>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</si>
  <si>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</si>
  <si>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</si>
  <si>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</si>
  <si>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</si>
  <si>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</si>
  <si>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</si>
  <si>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</si>
  <si>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</si>
  <si>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</si>
  <si>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</si>
  <si>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</si>
  <si>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</si>
  <si>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</si>
  <si>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</si>
  <si>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</si>
  <si>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</si>
  <si>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</si>
  <si>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</si>
  <si>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</si>
  <si>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</si>
  <si>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</si>
  <si>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</si>
  <si>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</si>
  <si>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</si>
  <si>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</si>
  <si>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</si>
  <si>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</si>
  <si>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</si>
  <si>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</si>
  <si>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</si>
  <si>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</si>
  <si>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</si>
  <si>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</si>
  <si>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</si>
  <si>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</si>
  <si>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</si>
  <si>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</si>
  <si>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</si>
  <si>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</si>
  <si>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</si>
  <si>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</si>
  <si>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</si>
  <si>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</si>
  <si>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</si>
  <si>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</si>
  <si>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</si>
  <si>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</si>
  <si>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</si>
  <si>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</si>
  <si>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</si>
  <si>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</si>
  <si>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</si>
  <si>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</si>
  <si>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</si>
  <si>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</si>
  <si>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</si>
  <si>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</si>
  <si>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</si>
  <si>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</si>
  <si>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</si>
  <si>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</si>
  <si>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</si>
  <si>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</si>
  <si>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</si>
  <si>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</si>
  <si>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</si>
  <si>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</si>
  <si>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</si>
  <si>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</si>
  <si>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</si>
  <si>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</si>
  <si>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</si>
  <si>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</si>
  <si>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</si>
  <si>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</si>
  <si>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</si>
  <si>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</si>
  <si>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</si>
  <si>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</si>
  <si>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</si>
  <si>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</si>
  <si>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</si>
  <si>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</si>
  <si>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</si>
  <si>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</si>
  <si>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</si>
  <si>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</si>
  <si>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</si>
  <si>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</si>
  <si>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</si>
  <si>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</si>
  <si>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</si>
  <si>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</si>
  <si>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</si>
  <si>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</si>
  <si>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</si>
  <si>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</si>
  <si>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</si>
  <si>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</si>
  <si>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</si>
  <si>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</si>
  <si>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</si>
  <si>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</si>
  <si>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</si>
  <si>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</si>
  <si>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</si>
  <si>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</si>
  <si>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</si>
  <si>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</si>
  <si>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</si>
  <si>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</si>
  <si>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</si>
  <si>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</si>
  <si>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</si>
  <si>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</si>
  <si>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</si>
  <si>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</si>
  <si>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</si>
  <si>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</si>
  <si>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</si>
  <si>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</si>
  <si>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</si>
  <si>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</si>
  <si>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</si>
  <si>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</si>
  <si>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</si>
  <si>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</si>
  <si>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</si>
  <si>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</si>
  <si>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</si>
  <si>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</si>
  <si>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</si>
  <si>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</si>
  <si>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</si>
  <si>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</si>
  <si>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</si>
  <si>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</si>
  <si>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</si>
  <si>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</si>
  <si>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</si>
  <si>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</si>
  <si>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</si>
  <si>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</si>
  <si>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</si>
  <si>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</si>
  <si>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</si>
  <si>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</si>
  <si>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</si>
  <si>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</si>
  <si>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</si>
  <si>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</si>
  <si>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</si>
  <si>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</si>
  <si>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</si>
  <si>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</si>
  <si>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</si>
  <si>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</si>
  <si>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</si>
  <si>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</si>
  <si>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</si>
  <si>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</si>
  <si>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</si>
  <si>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</si>
  <si>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</si>
  <si>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</si>
  <si>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</si>
  <si>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</si>
  <si>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</si>
  <si>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</si>
  <si>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</si>
  <si>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</si>
  <si>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</si>
  <si>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</si>
  <si>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</si>
  <si>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</si>
  <si>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</si>
  <si>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</si>
  <si>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</si>
  <si>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</si>
  <si>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</si>
  <si>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</si>
  <si>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</si>
  <si>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</si>
  <si>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</si>
  <si>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</si>
  <si>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</si>
  <si>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</si>
  <si>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</si>
  <si>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</si>
  <si>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</si>
  <si>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</si>
  <si>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</si>
  <si>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</si>
  <si>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</si>
  <si>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</si>
  <si>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</si>
  <si>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</si>
  <si>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</si>
  <si>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</si>
  <si>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</si>
  <si>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</si>
  <si>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</si>
  <si>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</si>
  <si>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</si>
  <si>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</si>
  <si>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</si>
  <si>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</si>
  <si>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</si>
  <si>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</si>
  <si>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</si>
  <si>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</si>
  <si>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</si>
  <si>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</si>
  <si>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</si>
  <si>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</si>
  <si>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</si>
  <si>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</si>
  <si>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</si>
  <si>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</si>
  <si>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</si>
  <si>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</si>
  <si>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</si>
  <si>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</si>
  <si>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</si>
  <si>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</si>
  <si>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</si>
  <si>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</si>
  <si>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</si>
  <si>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</si>
  <si>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</si>
  <si>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</si>
  <si>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</si>
  <si>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</si>
  <si>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</si>
  <si>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</si>
  <si>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</si>
  <si>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</si>
  <si>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</si>
  <si>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</si>
  <si>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</si>
  <si>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</si>
  <si>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</si>
  <si>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</si>
  <si>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</si>
  <si>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</si>
  <si>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</si>
  <si>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</si>
  <si>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</si>
  <si>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</si>
  <si>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</si>
  <si>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</si>
  <si>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</si>
  <si>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</si>
  <si>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</si>
  <si>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</si>
  <si>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</si>
  <si>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</si>
  <si>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</si>
  <si>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</si>
  <si>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</si>
  <si>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</si>
  <si>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</si>
  <si>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</si>
  <si>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</si>
  <si>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</si>
  <si>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</si>
  <si>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</si>
  <si>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</si>
  <si>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</si>
  <si>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</si>
  <si>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</si>
  <si>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</si>
  <si>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</si>
  <si>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</si>
  <si>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</si>
  <si>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</si>
  <si>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</si>
  <si>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</si>
  <si>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</si>
  <si>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</si>
  <si>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</si>
  <si>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</si>
  <si>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</si>
  <si>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</si>
  <si>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</si>
  <si>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</si>
  <si>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</si>
  <si>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</si>
  <si>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</si>
  <si>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</si>
  <si>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</si>
  <si>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</si>
  <si>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</si>
  <si>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</si>
  <si>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</si>
  <si>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</si>
  <si>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</si>
  <si>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</si>
  <si>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</si>
  <si>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</si>
  <si>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</si>
  <si>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</si>
  <si>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</si>
  <si>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</si>
  <si>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</si>
  <si>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</si>
  <si>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</si>
  <si>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</si>
  <si>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</si>
  <si>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</si>
  <si>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</si>
  <si>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</si>
  <si>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</si>
  <si>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</si>
  <si>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</si>
  <si>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</si>
  <si>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</si>
  <si>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</si>
  <si>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</si>
  <si>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</si>
  <si>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</si>
  <si>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</si>
  <si>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</si>
  <si>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</si>
  <si>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</si>
  <si>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</si>
  <si>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</si>
  <si>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</si>
  <si>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</si>
  <si>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</si>
  <si>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</si>
  <si>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</si>
  <si>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</si>
  <si>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</si>
  <si>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</si>
  <si>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</si>
  <si>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</si>
  <si>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</si>
  <si>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</si>
  <si>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</si>
  <si>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</si>
  <si>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</si>
  <si>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</si>
  <si>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</si>
  <si>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</si>
  <si>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</si>
  <si>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</si>
  <si>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</si>
  <si>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</si>
  <si>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</si>
  <si>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</si>
  <si>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</si>
  <si>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</si>
  <si>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</si>
  <si>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</si>
  <si>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</si>
  <si>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</si>
  <si>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</si>
  <si>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</si>
  <si>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</si>
  <si>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</si>
  <si>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</si>
  <si>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</si>
  <si>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</si>
  <si>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</si>
  <si>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</si>
  <si>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</si>
  <si>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</si>
  <si>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</si>
  <si>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</si>
  <si>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</si>
  <si>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</si>
  <si>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</si>
  <si>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</si>
  <si>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</si>
  <si>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</si>
  <si>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</si>
  <si>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</si>
  <si>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</si>
  <si>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</si>
  <si>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</si>
  <si>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</si>
  <si>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</si>
  <si>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</si>
  <si>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</si>
  <si>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</si>
  <si>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</si>
  <si>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</si>
  <si>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</si>
  <si>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</si>
  <si>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</si>
  <si>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</si>
  <si>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</si>
  <si>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</si>
  <si>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</si>
  <si>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</si>
  <si>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</si>
  <si>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</si>
  <si>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</si>
  <si>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</si>
  <si>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</si>
  <si>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</si>
  <si>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</si>
  <si>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</si>
  <si>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</si>
  <si>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</si>
  <si>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</si>
  <si>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</si>
  <si>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</si>
  <si>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</si>
  <si>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</si>
  <si>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</si>
  <si>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</si>
  <si>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</si>
  <si>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</si>
  <si>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</si>
  <si>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</si>
  <si>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</si>
  <si>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</si>
  <si>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</si>
  <si>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</si>
  <si>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</si>
  <si>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</si>
  <si>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</si>
  <si>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</si>
  <si>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</si>
  <si>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</si>
  <si>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</si>
  <si>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</si>
  <si>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</si>
  <si>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</si>
  <si>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</si>
  <si>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</si>
  <si>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</si>
  <si>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</si>
  <si>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</si>
  <si>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</si>
  <si>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</si>
  <si>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</si>
  <si>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</si>
  <si>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</si>
  <si>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</si>
  <si>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</si>
  <si>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</si>
  <si>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</si>
  <si>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</si>
  <si>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</si>
  <si>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</si>
  <si>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</si>
  <si>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</si>
  <si>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</si>
  <si>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</si>
  <si>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</si>
  <si>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</si>
  <si>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</si>
  <si>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</si>
  <si>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</si>
  <si>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</si>
  <si>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</si>
  <si>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</si>
  <si>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</si>
  <si>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</si>
  <si>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</si>
  <si>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</si>
  <si>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</si>
  <si>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</si>
  <si>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</si>
  <si>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</si>
  <si>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</si>
  <si>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</si>
  <si>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</si>
  <si>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</si>
  <si>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</si>
  <si>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</si>
  <si>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</si>
  <si>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</si>
  <si>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</si>
  <si>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</si>
  <si>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</si>
  <si>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</si>
  <si>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</si>
  <si>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</si>
  <si>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</si>
  <si>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</si>
  <si>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</si>
  <si>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</si>
  <si>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</si>
  <si>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</si>
  <si>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</si>
  <si>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</si>
  <si>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</si>
  <si>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</si>
  <si>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</si>
  <si>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</si>
  <si>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</si>
  <si>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</si>
  <si>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</si>
  <si>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</si>
  <si>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</si>
  <si>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</si>
  <si>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</si>
  <si>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</si>
  <si>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</si>
  <si>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</si>
  <si>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</si>
  <si>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</si>
  <si>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</si>
  <si>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</si>
  <si>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</si>
  <si>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</si>
  <si>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</si>
  <si>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</si>
  <si>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</si>
  <si>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</si>
  <si>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</si>
  <si>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</si>
  <si>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</si>
  <si>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</si>
  <si>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</si>
  <si>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</si>
  <si>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</si>
  <si>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</si>
  <si>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</si>
  <si>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</si>
  <si>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</si>
  <si>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</si>
  <si>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</si>
  <si>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</si>
  <si>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</si>
  <si>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</si>
  <si>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</si>
  <si>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</si>
  <si>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</si>
  <si>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</si>
  <si>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</si>
  <si>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</si>
  <si>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</si>
  <si>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</si>
  <si>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</si>
  <si>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</si>
  <si>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</si>
  <si>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</si>
  <si>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</si>
  <si>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</si>
  <si>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</si>
  <si>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</si>
  <si>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</si>
  <si>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</si>
  <si>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</si>
  <si>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</si>
  <si>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</si>
  <si>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</si>
  <si>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</si>
  <si>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</si>
  <si>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</si>
  <si>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</si>
  <si>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</si>
  <si>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</si>
  <si>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</si>
  <si>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</si>
  <si>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</si>
  <si>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</si>
  <si>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</si>
  <si>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</si>
  <si>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</si>
  <si>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</si>
  <si>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</si>
  <si>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</si>
  <si>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</si>
  <si>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</si>
  <si>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</si>
  <si>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</si>
  <si>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</si>
  <si>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</si>
  <si>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</si>
  <si>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</si>
  <si>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</si>
  <si>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</si>
  <si>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</si>
  <si>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</si>
  <si>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</si>
  <si>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</si>
  <si>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</si>
  <si>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</si>
  <si>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</si>
  <si>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</si>
  <si>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</si>
  <si>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</si>
  <si>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</si>
  <si>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</si>
  <si>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</si>
  <si>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</si>
  <si>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</si>
  <si>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</si>
  <si>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</si>
  <si>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</si>
  <si>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</si>
  <si>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</si>
  <si>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</si>
  <si>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</si>
  <si>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</si>
  <si>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</si>
  <si>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</si>
  <si>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</si>
  <si>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</si>
  <si>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</si>
  <si>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</si>
  <si>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</si>
  <si>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</si>
  <si>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</si>
  <si>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</si>
  <si>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</si>
  <si>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</si>
  <si>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</si>
  <si>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</si>
  <si>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</si>
  <si>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</si>
  <si>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</si>
  <si>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</si>
  <si>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</si>
  <si>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</si>
  <si>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</si>
  <si>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</si>
  <si>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</si>
  <si>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</si>
  <si>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</si>
  <si>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</si>
  <si>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</si>
  <si>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</si>
  <si>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</si>
  <si>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</si>
  <si>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</si>
  <si>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</si>
  <si>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</si>
  <si>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</si>
  <si>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</si>
  <si>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</si>
  <si>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</si>
  <si>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</si>
  <si>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</si>
  <si>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</si>
  <si>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</si>
  <si>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</si>
  <si>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</si>
  <si>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</si>
  <si>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</si>
  <si>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</si>
  <si>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</si>
  <si>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</si>
  <si>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</si>
  <si>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</si>
  <si>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</si>
  <si>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</si>
  <si>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</si>
  <si>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</si>
  <si>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</si>
  <si>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</si>
  <si>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</si>
  <si>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</si>
  <si>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</si>
  <si>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</si>
  <si>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</si>
  <si>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</si>
  <si>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</si>
  <si>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</si>
  <si>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</si>
  <si>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</si>
  <si>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</si>
  <si>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</si>
  <si>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</si>
  <si>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</si>
  <si>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</si>
  <si>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</si>
  <si>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</si>
  <si>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</si>
  <si>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</si>
  <si>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</si>
  <si>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</si>
  <si>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</si>
  <si>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</si>
  <si>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</si>
  <si>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</si>
  <si>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</si>
  <si>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</si>
  <si>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</si>
  <si>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</si>
  <si>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</si>
  <si>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</si>
  <si>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</si>
  <si>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</si>
  <si>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</si>
  <si>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</si>
  <si>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</si>
  <si>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</si>
  <si>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</si>
  <si>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</si>
  <si>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</si>
  <si>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</si>
  <si>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</si>
  <si>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</si>
  <si>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</si>
  <si>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</si>
  <si>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</si>
  <si>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</si>
  <si>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</si>
  <si>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</si>
  <si>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</si>
  <si>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</si>
  <si>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</si>
  <si>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</si>
  <si>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</si>
  <si>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</si>
  <si>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</si>
  <si>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</si>
  <si>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</si>
  <si>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</si>
  <si>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</si>
  <si>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</si>
  <si>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</si>
  <si>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</si>
  <si>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</si>
  <si>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</si>
  <si>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</si>
  <si>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</si>
  <si>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</si>
  <si>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</si>
  <si>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</si>
  <si>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</si>
  <si>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</si>
  <si>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</si>
  <si>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</si>
  <si>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</si>
  <si>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</si>
  <si>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</si>
  <si>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</si>
  <si>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</si>
  <si>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</si>
  <si>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</si>
  <si>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</si>
  <si>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</si>
  <si>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</si>
  <si>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</si>
  <si>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</si>
  <si>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</si>
  <si>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</si>
  <si>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</si>
  <si>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</si>
  <si>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</si>
  <si>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</si>
  <si>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</si>
  <si>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</si>
  <si>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</si>
  <si>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</si>
  <si>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</si>
  <si>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</si>
  <si>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</si>
  <si>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</si>
  <si>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</si>
  <si>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</si>
  <si>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</si>
  <si>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</si>
  <si>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</si>
  <si>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</si>
  <si>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</si>
  <si>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</si>
  <si>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</si>
  <si>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</si>
  <si>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</si>
  <si>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</si>
  <si>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</si>
  <si>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</si>
  <si>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</si>
  <si>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</si>
  <si>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</si>
  <si>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</si>
  <si>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</si>
  <si>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</si>
  <si>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</si>
  <si>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</si>
  <si>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</si>
  <si>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</si>
  <si>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</si>
  <si>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</si>
  <si>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</si>
  <si>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</si>
  <si>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</si>
  <si>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</si>
  <si>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</si>
  <si>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</si>
  <si>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</si>
  <si>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</si>
  <si>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</si>
  <si>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</si>
  <si>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</si>
  <si>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</si>
  <si>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</si>
  <si>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</si>
  <si>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</si>
  <si>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</si>
  <si>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</si>
  <si>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</si>
  <si>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</si>
  <si>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</si>
  <si>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</si>
  <si>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</si>
  <si>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</si>
  <si>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</si>
  <si>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</si>
  <si>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</si>
  <si>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</si>
  <si>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</si>
  <si>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</si>
  <si>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</si>
  <si>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</si>
  <si>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</si>
  <si>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</si>
  <si>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</si>
  <si>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</si>
  <si>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</si>
  <si>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</si>
  <si>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</si>
  <si>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</si>
  <si>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</si>
  <si>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</si>
  <si>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</si>
  <si>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</si>
  <si>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</si>
  <si>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</si>
  <si>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</si>
  <si>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</si>
  <si>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</si>
  <si>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</si>
  <si>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</si>
  <si>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</si>
  <si>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</si>
  <si>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</si>
  <si>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</si>
  <si>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</si>
  <si>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</si>
  <si>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</si>
  <si>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</si>
  <si>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</si>
  <si>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</si>
  <si>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</si>
  <si>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</si>
  <si>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</si>
  <si>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</si>
  <si>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</si>
  <si>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</si>
  <si>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</si>
  <si>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</si>
  <si>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</si>
  <si>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</si>
  <si>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</si>
  <si>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</si>
  <si>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</si>
  <si>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</si>
  <si>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</si>
  <si>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</si>
  <si>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</si>
  <si>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</si>
  <si>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</si>
  <si>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</si>
  <si>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</si>
  <si>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</si>
  <si>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</si>
  <si>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</si>
  <si>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</si>
  <si>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</si>
  <si>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</si>
  <si>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</si>
  <si>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</si>
  <si>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</si>
  <si>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</si>
  <si>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</si>
  <si>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</si>
  <si>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</si>
  <si>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</si>
  <si>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</si>
  <si>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</si>
  <si>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</si>
  <si>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</si>
  <si>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</si>
  <si>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</si>
  <si>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</si>
  <si>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</si>
  <si>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</si>
  <si>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</si>
  <si>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</si>
  <si>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</si>
  <si>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</si>
  <si>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</si>
  <si>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</si>
  <si>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</si>
  <si>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</si>
  <si>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</si>
  <si>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</si>
  <si>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</si>
  <si>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</si>
  <si>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</si>
  <si>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</si>
  <si>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</si>
  <si>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</si>
  <si>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</si>
  <si>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</si>
  <si>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</si>
  <si>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</si>
  <si>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</si>
  <si>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</si>
  <si>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</si>
  <si>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</si>
  <si>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</si>
  <si>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</si>
  <si>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</si>
  <si>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</si>
  <si>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</si>
  <si>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</si>
  <si>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</si>
  <si>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</si>
  <si>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</si>
  <si>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</si>
  <si>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</si>
  <si>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</si>
  <si>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</si>
  <si>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</si>
  <si>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</si>
  <si>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</si>
  <si>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</si>
  <si>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</si>
  <si>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</si>
  <si>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</si>
  <si>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</si>
  <si>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</si>
  <si>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</si>
  <si>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</si>
  <si>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</si>
  <si>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</si>
  <si>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</si>
  <si>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</si>
  <si>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</si>
  <si>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</si>
  <si>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</si>
  <si>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</si>
  <si>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</si>
  <si>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</si>
  <si>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</si>
  <si>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</si>
  <si>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</si>
  <si>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</si>
  <si>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</si>
  <si>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</si>
  <si>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</si>
  <si>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</si>
  <si>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</si>
  <si>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</si>
  <si>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</si>
  <si>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</si>
  <si>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</si>
  <si>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</si>
  <si>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</si>
  <si>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</si>
  <si>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</si>
  <si>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</si>
  <si>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</si>
  <si>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</si>
  <si>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</si>
  <si>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</si>
  <si>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</si>
  <si>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</si>
  <si>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</si>
  <si>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</si>
  <si>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</si>
  <si>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</si>
  <si>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</si>
  <si>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</si>
  <si>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</si>
  <si>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</si>
  <si>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</si>
  <si>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</si>
  <si>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</si>
  <si>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</si>
  <si>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</si>
  <si>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</si>
  <si>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</si>
  <si>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</si>
  <si>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</si>
  <si>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</si>
  <si>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</si>
  <si>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</si>
  <si>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</si>
  <si>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</si>
  <si>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</si>
  <si>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</si>
  <si>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</si>
  <si>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</si>
  <si>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</si>
  <si>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</si>
  <si>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</si>
  <si>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</si>
  <si>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</si>
  <si>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</si>
  <si>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</si>
  <si>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</si>
  <si>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</si>
  <si>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</si>
  <si>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</si>
  <si>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</si>
  <si>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</si>
  <si>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</si>
  <si>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</si>
  <si>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</si>
  <si>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</si>
  <si>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</si>
  <si>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</si>
  <si>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</si>
  <si>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</si>
  <si>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</si>
  <si>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</si>
  <si>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</si>
  <si>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</si>
  <si>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</si>
  <si>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</si>
  <si>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</si>
  <si>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</si>
  <si>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</si>
  <si>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</si>
  <si>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</si>
  <si>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</si>
  <si>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</si>
  <si>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</si>
  <si>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</si>
  <si>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</si>
  <si>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</si>
  <si>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</si>
  <si>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</si>
  <si>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</si>
  <si>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</si>
  <si>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</si>
  <si>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</si>
  <si>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</si>
  <si>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</si>
  <si>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</si>
  <si>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</si>
  <si>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</si>
  <si>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</si>
  <si>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</si>
  <si>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</si>
  <si>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</si>
  <si>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</si>
  <si>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</si>
  <si>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</si>
  <si>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</si>
  <si>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</si>
  <si>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</si>
  <si>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</si>
  <si>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</si>
  <si>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</si>
  <si>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</si>
  <si>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</si>
  <si>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</si>
  <si>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</si>
  <si>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</si>
  <si>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</si>
  <si>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</si>
  <si>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</si>
  <si>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</si>
  <si>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</si>
  <si>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</si>
  <si>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</si>
  <si>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</si>
  <si>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</si>
  <si>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</si>
  <si>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</si>
  <si>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</si>
  <si>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</si>
  <si>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</si>
  <si>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</si>
  <si>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</si>
  <si>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</si>
  <si>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</si>
  <si>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</si>
  <si>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</si>
  <si>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</si>
  <si>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</si>
  <si>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</si>
  <si>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</si>
  <si>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</si>
  <si>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</si>
  <si>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</si>
  <si>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</si>
  <si>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</si>
  <si>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</si>
  <si>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</si>
  <si>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</si>
  <si>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</si>
  <si>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</si>
  <si>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</si>
  <si>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</si>
  <si>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</si>
  <si>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</si>
  <si>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</si>
  <si>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</si>
  <si>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</si>
  <si>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</si>
  <si>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</si>
  <si>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</si>
  <si>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</si>
  <si>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</si>
  <si>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</si>
  <si>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</si>
  <si>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</si>
  <si>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</si>
  <si>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</si>
  <si>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</si>
  <si>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</si>
  <si>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</si>
  <si>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</si>
  <si>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</si>
  <si>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</si>
  <si>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</si>
  <si>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</si>
  <si>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</si>
  <si>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</si>
  <si>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</si>
  <si>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</si>
  <si>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</si>
  <si>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</si>
  <si>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</si>
  <si>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</si>
  <si>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</si>
  <si>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</si>
  <si>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</si>
  <si>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</si>
  <si>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</si>
  <si>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</si>
  <si>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</si>
  <si>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</si>
  <si>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</si>
  <si>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</si>
  <si>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</si>
  <si>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</si>
  <si>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</si>
  <si>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</si>
  <si>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</si>
  <si>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</si>
  <si>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</si>
  <si>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</si>
  <si>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</si>
  <si>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</si>
  <si>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</si>
  <si>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</si>
  <si>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</si>
  <si>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</si>
  <si>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</si>
  <si>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</si>
  <si>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</si>
  <si>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</si>
  <si>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</si>
  <si>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</si>
  <si>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</si>
  <si>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</si>
  <si>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</si>
  <si>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</si>
  <si>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</si>
  <si>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</si>
  <si>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</si>
  <si>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</si>
  <si>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</si>
  <si>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</si>
  <si>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</si>
  <si>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</si>
  <si>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</si>
  <si>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</si>
  <si>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</si>
  <si>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</si>
  <si>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</si>
  <si>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</si>
  <si>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</si>
  <si>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</si>
  <si>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</si>
  <si>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</si>
  <si>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</si>
  <si>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</si>
  <si>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</si>
  <si>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</si>
  <si>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</si>
  <si>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</si>
  <si>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</si>
  <si>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</si>
  <si>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</si>
  <si>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</si>
  <si>
    <t>B4综合性商业金融服务业用地、F3其他类多功能用地</t>
    <phoneticPr fontId="134" type="noConversion"/>
  </si>
  <si>
    <t>Ⅶ-门1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</si>
</sst>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9" fontId="105" fillId="6" borderId="65" xfId="17" applyFont="1" applyFill="1" applyBorder="1" applyAlignment="1" applyProtection="1">
      <alignment horizontal="center"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47" fillId="0" borderId="10" xfId="17" applyNumberFormat="1" applyFont="1" applyFill="1" applyBorder="1" applyAlignment="1" applyProtection="1">
      <alignment horizontal="right" vertical="center"/>
      <protection locked="0"/>
    </xf>
    <xf numFmtId="185" fontId="44" fillId="6" borderId="1" xfId="0" applyNumberFormat="1" applyFont="1" applyFill="1" applyBorder="1" applyAlignment="1" applyProtection="1">
      <alignment horizontal="righ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50360</v>
      </c>
    </row>
    <row r="21" spans="1:2" s="879" customFormat="1">
      <c r="A21" s="877" t="s">
        <v>531</v>
      </c>
      <c r="B21" s="878">
        <f ca="1">'预评函-2'!D7</f>
        <v>12683</v>
      </c>
    </row>
    <row r="22" spans="1:2" s="879" customFormat="1">
      <c r="A22" s="877" t="s">
        <v>532</v>
      </c>
      <c r="B22" s="878" t="str">
        <f ca="1">'预评函-2'!D6</f>
        <v>伍亿零叁佰陆拾万元整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50360</v>
      </c>
    </row>
    <row r="31" spans="1:2" s="879" customFormat="1">
      <c r="A31" s="877" t="s">
        <v>570</v>
      </c>
      <c r="B31" s="878">
        <f ca="1">'预评函-2'!D15</f>
        <v>12683</v>
      </c>
    </row>
    <row r="32" spans="1:2" s="879" customFormat="1">
      <c r="A32" s="877" t="s">
        <v>537</v>
      </c>
      <c r="B32" s="878" t="str">
        <f ca="1">'预评函-2'!D14</f>
        <v>伍亿零叁佰陆拾万元整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30115</v>
      </c>
    </row>
    <row r="48" spans="1:2" s="879" customFormat="1">
      <c r="A48" s="877" t="s">
        <v>543</v>
      </c>
      <c r="B48" s="878">
        <f ca="1">'预评函-3'!E4</f>
        <v>7585</v>
      </c>
    </row>
    <row r="49" spans="1:2" s="879" customFormat="1">
      <c r="A49" s="877" t="s">
        <v>544</v>
      </c>
      <c r="B49" s="878" t="str">
        <f ca="1">'预评函-3'!D5</f>
        <v>叁亿零壹佰壹拾伍万元整</v>
      </c>
    </row>
    <row r="50" spans="1:2" s="879" customFormat="1">
      <c r="A50" s="877" t="s">
        <v>568</v>
      </c>
      <c r="B50" s="878">
        <f>'预评函-3'!F2</f>
        <v>0</v>
      </c>
    </row>
    <row r="51" spans="1:2" s="879" customFormat="1">
      <c r="A51" s="877" t="s">
        <v>545</v>
      </c>
      <c r="B51" s="878">
        <f ca="1">'预评函-3'!F4</f>
        <v>20245</v>
      </c>
    </row>
    <row r="52" spans="1:2" s="879" customFormat="1">
      <c r="A52" s="877" t="s">
        <v>546</v>
      </c>
      <c r="B52" s="878">
        <f ca="1">'预评函-3'!G4</f>
        <v>5098</v>
      </c>
    </row>
    <row r="53" spans="1:2" s="879" customFormat="1">
      <c r="A53" s="877" t="s">
        <v>574</v>
      </c>
      <c r="B53" s="878" t="str">
        <f ca="1">'预评函-3'!F5</f>
        <v>贰亿零贰佰肆拾伍万元整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8"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8"/>
      <c r="B54" s="1199" t="s">
        <v>379</v>
      </c>
      <c r="C54" s="1196" t="s">
        <v>577</v>
      </c>
    </row>
    <row r="55" spans="1:4">
      <c r="A55" s="4528"/>
      <c r="B55" s="1199" t="s">
        <v>380</v>
      </c>
      <c r="C55" s="1196" t="s">
        <v>578</v>
      </c>
    </row>
    <row r="56" spans="1:4">
      <c r="A56" s="4528"/>
      <c r="B56" s="1199" t="s">
        <v>381</v>
      </c>
      <c r="C56" s="1196" t="s">
        <v>582</v>
      </c>
    </row>
    <row r="57" spans="1:4">
      <c r="A57" s="4528"/>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C15" sqref="C15"/>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9" t="s">
        <v>2485</v>
      </c>
      <c r="J2" s="4530"/>
      <c r="K2" s="4530"/>
      <c r="L2" s="4530"/>
      <c r="M2" s="4530"/>
      <c r="N2" s="4530"/>
      <c r="O2" s="4530"/>
      <c r="P2" s="4530"/>
      <c r="Q2" s="4530"/>
      <c r="R2" s="4531"/>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3.5</v>
      </c>
      <c r="L7" s="4001" t="s">
        <v>3718</v>
      </c>
      <c r="M7" s="3990"/>
      <c r="N7" s="2437"/>
      <c r="O7" s="2437"/>
      <c r="P7" s="2437"/>
      <c r="Q7" s="2437"/>
      <c r="R7" s="2438"/>
    </row>
    <row r="8" spans="1:18">
      <c r="A8" s="2440"/>
      <c r="B8" s="2441"/>
      <c r="C8" s="2441"/>
      <c r="D8" s="2441"/>
      <c r="E8" s="2441"/>
      <c r="F8" s="2442"/>
      <c r="I8" s="4529" t="s">
        <v>3717</v>
      </c>
      <c r="J8" s="4530"/>
      <c r="K8" s="4530"/>
      <c r="L8" s="4530"/>
      <c r="M8" s="4530"/>
      <c r="N8" s="4530"/>
      <c r="O8" s="4530"/>
      <c r="P8" s="4530"/>
      <c r="Q8" s="4530"/>
      <c r="R8" s="4531"/>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22.857142857142858</v>
      </c>
      <c r="K10" s="3988">
        <f t="shared" si="0"/>
        <v>20</v>
      </c>
      <c r="L10" s="3988">
        <f t="shared" si="0"/>
        <v>5.7142857142857144</v>
      </c>
      <c r="M10" s="3988">
        <f t="shared" si="0"/>
        <v>8.5714285714285712</v>
      </c>
      <c r="N10" s="3988">
        <f t="shared" si="0"/>
        <v>12.857142857142858</v>
      </c>
      <c r="O10" s="3988">
        <f t="shared" si="0"/>
        <v>17.142857142857142</v>
      </c>
      <c r="P10" s="3988">
        <f t="shared" si="0"/>
        <v>14.285714285714286</v>
      </c>
      <c r="Q10" s="3988">
        <f t="shared" si="0"/>
        <v>5.7142857142857144</v>
      </c>
      <c r="R10" s="4006">
        <f t="shared" si="0"/>
        <v>107.14285714285714</v>
      </c>
    </row>
    <row r="11" spans="1:18">
      <c r="A11" s="4025" t="s">
        <v>2414</v>
      </c>
      <c r="B11" s="4023">
        <v>20</v>
      </c>
      <c r="C11" s="4026" t="s">
        <v>2415</v>
      </c>
      <c r="D11" s="4022">
        <v>0.05</v>
      </c>
      <c r="E11" s="4026" t="s">
        <v>2416</v>
      </c>
      <c r="F11" s="4024">
        <f>ROUND(1-(1/(POWER(1+D11,B11))),4)</f>
        <v>0.62309999999999999</v>
      </c>
      <c r="I11" s="3991" t="s">
        <v>2487</v>
      </c>
      <c r="J11" s="3988">
        <f t="shared" ref="J11:R11" si="1">J5/$K$7</f>
        <v>20</v>
      </c>
      <c r="K11" s="3988">
        <f t="shared" si="1"/>
        <v>17.142857142857142</v>
      </c>
      <c r="L11" s="3988">
        <f t="shared" si="1"/>
        <v>4.2857142857142856</v>
      </c>
      <c r="M11" s="3988">
        <f t="shared" si="1"/>
        <v>7.1428571428571432</v>
      </c>
      <c r="N11" s="3988">
        <f t="shared" si="1"/>
        <v>11.428571428571429</v>
      </c>
      <c r="O11" s="3988">
        <f t="shared" si="1"/>
        <v>14.285714285714286</v>
      </c>
      <c r="P11" s="3988">
        <f t="shared" si="1"/>
        <v>11.428571428571429</v>
      </c>
      <c r="Q11" s="3988">
        <f t="shared" si="1"/>
        <v>4.2857142857142856</v>
      </c>
      <c r="R11" s="4006">
        <f t="shared" si="1"/>
        <v>90</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17.142857142857142</v>
      </c>
      <c r="K12" s="4003">
        <f t="shared" si="2"/>
        <v>14.285714285714286</v>
      </c>
      <c r="L12" s="4003">
        <f t="shared" si="2"/>
        <v>2.8571428571428572</v>
      </c>
      <c r="M12" s="4003">
        <f t="shared" si="2"/>
        <v>5.7142857142857144</v>
      </c>
      <c r="N12" s="4003">
        <f t="shared" si="2"/>
        <v>10</v>
      </c>
      <c r="O12" s="4003">
        <f t="shared" si="2"/>
        <v>11.428571428571429</v>
      </c>
      <c r="P12" s="4003">
        <f t="shared" si="2"/>
        <v>8.5714285714285712</v>
      </c>
      <c r="Q12" s="4003">
        <f t="shared" si="2"/>
        <v>2.8571428571428572</v>
      </c>
      <c r="R12" s="4010">
        <f t="shared" si="2"/>
        <v>72.857142857142861</v>
      </c>
    </row>
    <row r="13" spans="1:18">
      <c r="A13" s="2443" t="s">
        <v>2420</v>
      </c>
      <c r="B13" s="2445"/>
      <c r="C13" s="2445"/>
      <c r="D13" s="2441"/>
      <c r="E13" s="2441"/>
      <c r="F13" s="2442"/>
      <c r="I13" s="3989" t="s">
        <v>3720</v>
      </c>
      <c r="J13" s="4008">
        <v>2.5</v>
      </c>
      <c r="K13" s="3990" t="s">
        <v>3721</v>
      </c>
      <c r="L13" s="4009">
        <v>0.92630000000000001</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24.6757452846193</v>
      </c>
      <c r="K15" s="3988">
        <f t="shared" si="3"/>
        <v>21.591277124041888</v>
      </c>
      <c r="L15" s="3988">
        <f t="shared" si="3"/>
        <v>6.1689363211548249</v>
      </c>
      <c r="M15" s="3988">
        <f t="shared" si="3"/>
        <v>9.2534044817322361</v>
      </c>
      <c r="N15" s="3988">
        <f t="shared" si="3"/>
        <v>13.880106722598356</v>
      </c>
      <c r="O15" s="3988">
        <f t="shared" si="3"/>
        <v>18.506808963464472</v>
      </c>
      <c r="P15" s="3988">
        <f t="shared" si="3"/>
        <v>15.422340802887064</v>
      </c>
      <c r="Q15" s="3988">
        <f t="shared" si="3"/>
        <v>6.1689363211548249</v>
      </c>
      <c r="R15" s="4006">
        <f t="shared" si="3"/>
        <v>115.66755602165296</v>
      </c>
    </row>
    <row r="16" spans="1:18">
      <c r="A16" s="2443" t="s">
        <v>2423</v>
      </c>
      <c r="B16" s="2929"/>
      <c r="C16" s="2929"/>
      <c r="D16" s="2441"/>
      <c r="E16" s="2441"/>
      <c r="F16" s="2442"/>
      <c r="I16" s="3991" t="s">
        <v>2487</v>
      </c>
      <c r="J16" s="3988">
        <f t="shared" ref="J16:R16" si="4">J11/$L$13</f>
        <v>21.591277124041888</v>
      </c>
      <c r="K16" s="3988">
        <f t="shared" si="4"/>
        <v>18.506808963464472</v>
      </c>
      <c r="L16" s="3988">
        <f t="shared" si="4"/>
        <v>4.626702240866118</v>
      </c>
      <c r="M16" s="3988">
        <f t="shared" si="4"/>
        <v>7.7111704014435318</v>
      </c>
      <c r="N16" s="3988">
        <f t="shared" si="4"/>
        <v>12.33787264230965</v>
      </c>
      <c r="O16" s="3988">
        <f t="shared" si="4"/>
        <v>15.422340802887064</v>
      </c>
      <c r="P16" s="3988">
        <f t="shared" si="4"/>
        <v>12.33787264230965</v>
      </c>
      <c r="Q16" s="3988">
        <f t="shared" si="4"/>
        <v>4.626702240866118</v>
      </c>
      <c r="R16" s="4006">
        <f t="shared" si="4"/>
        <v>97.160747058188491</v>
      </c>
    </row>
    <row r="17" spans="1:18" ht="14.25" thickBot="1">
      <c r="A17" s="4025" t="s">
        <v>2422</v>
      </c>
      <c r="B17" s="4030"/>
      <c r="C17" s="4028"/>
      <c r="D17" s="2441"/>
      <c r="E17" s="2441"/>
      <c r="F17" s="2442"/>
      <c r="I17" s="3994" t="s">
        <v>2488</v>
      </c>
      <c r="J17" s="3995">
        <f t="shared" ref="J17:R17" si="5">J12/$L$13</f>
        <v>18.506808963464472</v>
      </c>
      <c r="K17" s="3995">
        <f t="shared" si="5"/>
        <v>15.422340802887064</v>
      </c>
      <c r="L17" s="3995">
        <f t="shared" si="5"/>
        <v>3.0844681605774125</v>
      </c>
      <c r="M17" s="3995">
        <f t="shared" si="5"/>
        <v>6.1689363211548249</v>
      </c>
      <c r="N17" s="3995">
        <f t="shared" si="5"/>
        <v>10.795638562020944</v>
      </c>
      <c r="O17" s="3995">
        <f t="shared" si="5"/>
        <v>12.33787264230965</v>
      </c>
      <c r="P17" s="3995">
        <f t="shared" si="5"/>
        <v>9.2534044817322361</v>
      </c>
      <c r="Q17" s="3995">
        <f t="shared" si="5"/>
        <v>3.0844681605774125</v>
      </c>
      <c r="R17" s="4007">
        <f t="shared" si="5"/>
        <v>78.653938094724026</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32" t="s">
        <v>3384</v>
      </c>
      <c r="J54" s="4532"/>
      <c r="K54" s="4532"/>
      <c r="L54" s="4532"/>
      <c r="M54" s="4532"/>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33" t="s">
        <v>3392</v>
      </c>
      <c r="J62" s="4533"/>
      <c r="K62" s="4533"/>
      <c r="L62" s="4533"/>
      <c r="M62" s="4533"/>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F38" sqref="F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42" t="str">
        <f>IF(B10="北京市","北京市",C10)&amp;F10&amp;IF(结果表!G1="在建","出让国有建设用地使用权及在建建筑物",IF(结果表!G1="土地","出让国有建设用地使用权",))&amp;B9&amp;"预评估"</f>
        <v>北京市房地产抵押价值预评估</v>
      </c>
      <c r="C1" s="4543"/>
      <c r="D1" s="4543"/>
      <c r="E1" s="4543"/>
      <c r="F1" s="4543"/>
      <c r="G1" s="4543"/>
      <c r="H1" s="4543"/>
      <c r="I1" s="4544"/>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45"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46"/>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1" t="str">
        <f>IF(A13="出让",IF(C13="","",ROUNDDOWN(MIN((C13-$D$3)/365,C14),2)),C14)</f>
        <v/>
      </c>
      <c r="D15" s="4151" t="str">
        <f>IF(A13="出让",IF(D13="","",ROUNDDOWN(MIN((D13-$D$3)/365,D14),2)),D14)</f>
        <v/>
      </c>
      <c r="E15" s="4151">
        <f>IF(A13="出让",IF(E13="","",ROUNDDOWN(MIN((E13-$D$3)/365,E14),2)),E14)</f>
        <v>30.07</v>
      </c>
      <c r="F15" s="4151" t="str">
        <f>IF(A13="出让",IF(F13="","",ROUNDDOWN(MIN((F13-$D$3)/365,F14),2)),F14)</f>
        <v/>
      </c>
      <c r="G15" s="4151" t="str">
        <f>IF(A13="出让",IF(G13="","",ROUNDDOWN(MIN((G13-$D$3)/365,G14),2)),G14)</f>
        <v/>
      </c>
      <c r="H15" s="4151">
        <f>IF(A13="出让",IF(H13="","",ROUNDDOWN(MIN((H13-$D$3)/365,H14),2)),H14)</f>
        <v>30.07</v>
      </c>
      <c r="I15" s="4151">
        <f>IF(A13="出让",IF(I13="","",ROUNDDOWN(MIN((I13-$D$3)/365,I14),2)),I14)</f>
        <v>30.07</v>
      </c>
      <c r="J15" s="2477"/>
      <c r="K15" s="1986"/>
      <c r="L15" s="1986"/>
      <c r="M15" s="2044"/>
      <c r="N15" s="1986"/>
      <c r="O15" s="2044"/>
      <c r="P15" s="1974"/>
      <c r="Q15" s="1974"/>
      <c r="AD15" s="1373"/>
    </row>
    <row r="16" spans="1:30">
      <c r="A16" s="1939" t="s">
        <v>2108</v>
      </c>
      <c r="B16" s="4552"/>
      <c r="C16" s="4553"/>
      <c r="D16" s="4554"/>
      <c r="E16" s="1950" t="s">
        <v>2109</v>
      </c>
      <c r="F16" s="4555"/>
      <c r="G16" s="4556"/>
      <c r="H16" s="4556"/>
      <c r="I16" s="4557"/>
      <c r="J16" s="1974"/>
      <c r="K16" s="2100"/>
      <c r="L16" s="1986"/>
      <c r="M16" s="1986"/>
      <c r="N16" s="2044"/>
      <c r="O16" s="1986"/>
      <c r="P16" s="2044"/>
      <c r="Q16" s="1974"/>
      <c r="R16" s="1974"/>
    </row>
    <row r="17" spans="1:28">
      <c r="A17" s="202" t="s">
        <v>2110</v>
      </c>
      <c r="B17" s="191" t="s">
        <v>2111</v>
      </c>
      <c r="C17" s="9">
        <f>'数据-汇总表'!E3</f>
        <v>39707.96</v>
      </c>
      <c r="D17" s="1864" t="s">
        <v>2112</v>
      </c>
      <c r="E17" s="4558" t="s">
        <v>2113</v>
      </c>
      <c r="F17" s="4559"/>
      <c r="G17" s="4559"/>
      <c r="H17" s="4559"/>
      <c r="I17" s="4560"/>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61" t="s">
        <v>2117</v>
      </c>
      <c r="F18" s="4562"/>
      <c r="G18" s="4562"/>
      <c r="H18" s="4562"/>
      <c r="I18" s="4563"/>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8" t="s">
        <v>2121</v>
      </c>
      <c r="C20" s="4549"/>
      <c r="D20" s="4550" t="s">
        <v>2122</v>
      </c>
      <c r="E20" s="4551"/>
      <c r="F20" s="2130" t="s">
        <v>1043</v>
      </c>
      <c r="G20" s="2145"/>
      <c r="H20" s="2145"/>
      <c r="I20" s="2145"/>
      <c r="J20" s="1974"/>
      <c r="K20" s="4547"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47"/>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47"/>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35"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35"/>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35"/>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36"/>
      <c r="B30" s="191" t="s">
        <v>2133</v>
      </c>
      <c r="C30" s="4537"/>
      <c r="D30" s="4538"/>
      <c r="E30" s="2145"/>
      <c r="F30" s="2145"/>
      <c r="G30" s="2145"/>
      <c r="H30" s="2145"/>
      <c r="I30" s="2145"/>
      <c r="J30" s="1974"/>
      <c r="K30" s="2099"/>
      <c r="L30" s="2096"/>
      <c r="M30" s="2096"/>
      <c r="N30" s="1974"/>
      <c r="O30" s="1985"/>
      <c r="P30" s="1974"/>
      <c r="Q30" s="1974"/>
      <c r="R30" s="1974"/>
      <c r="S30" s="1974"/>
      <c r="T30" s="1974"/>
      <c r="U30" s="1974"/>
      <c r="V30" s="1974"/>
    </row>
    <row r="31" spans="1:28">
      <c r="A31" s="4539"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40"/>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40"/>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34" t="s">
        <v>2143</v>
      </c>
      <c r="T34" s="1963" t="str">
        <f>NUMBERSTRING(7-K34,1)&amp;"通"</f>
        <v>七通</v>
      </c>
      <c r="U34" s="1974"/>
      <c r="V34" s="1974"/>
    </row>
    <row r="35" spans="1:30">
      <c r="A35" s="1964"/>
      <c r="B35" s="4541" t="s">
        <v>2144</v>
      </c>
      <c r="C35" s="4541"/>
      <c r="D35" s="4541"/>
      <c r="E35" s="4541"/>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34"/>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t="s">
        <v>302</v>
      </c>
      <c r="F37" s="1966" t="s">
        <v>302</v>
      </c>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t="s">
        <v>4040</v>
      </c>
      <c r="F38" s="1967" t="s">
        <v>4040</v>
      </c>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0">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2" customFormat="1" ht="12.75">
      <c r="A5" s="4357" t="s">
        <v>1057</v>
      </c>
      <c r="B5" s="4358"/>
      <c r="C5" s="4358"/>
      <c r="D5" s="4359"/>
      <c r="E5" s="4151" t="s">
        <v>0</v>
      </c>
      <c r="F5" s="4151">
        <f>SUM(F13:F587)</f>
        <v>0</v>
      </c>
      <c r="G5" s="4151">
        <f>SUM(G13:G587)</f>
        <v>39707.96</v>
      </c>
      <c r="H5" s="4151">
        <f t="shared" ref="H5:AT5" si="0">SUM(H13:H656)</f>
        <v>39425.99</v>
      </c>
      <c r="I5" s="4151">
        <f t="shared" si="0"/>
        <v>32206.959999999999</v>
      </c>
      <c r="J5" s="4151">
        <f t="shared" si="0"/>
        <v>0</v>
      </c>
      <c r="K5" s="4151">
        <f t="shared" si="0"/>
        <v>7219.03</v>
      </c>
      <c r="L5" s="4151">
        <f t="shared" si="0"/>
        <v>0</v>
      </c>
      <c r="M5" s="4151">
        <f t="shared" si="0"/>
        <v>0</v>
      </c>
      <c r="N5" s="4151">
        <f t="shared" si="0"/>
        <v>0</v>
      </c>
      <c r="O5" s="4151">
        <f t="shared" si="0"/>
        <v>0</v>
      </c>
      <c r="P5" s="4151">
        <f t="shared" si="0"/>
        <v>0</v>
      </c>
      <c r="Q5" s="4151">
        <f t="shared" si="0"/>
        <v>0</v>
      </c>
      <c r="R5" s="4151">
        <f t="shared" si="0"/>
        <v>0</v>
      </c>
      <c r="S5" s="4151">
        <f t="shared" si="0"/>
        <v>0</v>
      </c>
      <c r="T5" s="4151">
        <f t="shared" si="0"/>
        <v>0</v>
      </c>
      <c r="U5" s="4151">
        <f t="shared" si="0"/>
        <v>0</v>
      </c>
      <c r="V5" s="4151">
        <f t="shared" si="0"/>
        <v>0</v>
      </c>
      <c r="W5" s="4151">
        <f t="shared" si="0"/>
        <v>0</v>
      </c>
      <c r="X5" s="4151">
        <f t="shared" si="0"/>
        <v>0</v>
      </c>
      <c r="Y5" s="4151">
        <f t="shared" si="0"/>
        <v>0</v>
      </c>
      <c r="Z5" s="4151">
        <f t="shared" si="0"/>
        <v>0</v>
      </c>
      <c r="AA5" s="4151">
        <f t="shared" si="0"/>
        <v>0</v>
      </c>
      <c r="AB5" s="4151">
        <f t="shared" si="0"/>
        <v>0</v>
      </c>
      <c r="AC5" s="4151">
        <f t="shared" si="0"/>
        <v>281.97000000000003</v>
      </c>
      <c r="AD5" s="4151">
        <f t="shared" si="0"/>
        <v>0</v>
      </c>
      <c r="AE5" s="4151">
        <f t="shared" si="0"/>
        <v>0</v>
      </c>
      <c r="AF5" s="4151">
        <f t="shared" si="0"/>
        <v>0</v>
      </c>
      <c r="AG5" s="4151">
        <f t="shared" si="0"/>
        <v>0</v>
      </c>
      <c r="AH5" s="4151">
        <f t="shared" si="0"/>
        <v>0</v>
      </c>
      <c r="AI5" s="4151">
        <f t="shared" si="0"/>
        <v>0</v>
      </c>
      <c r="AJ5" s="4151">
        <f t="shared" si="0"/>
        <v>0</v>
      </c>
      <c r="AK5" s="4151">
        <f t="shared" si="0"/>
        <v>0</v>
      </c>
      <c r="AL5" s="4151">
        <f t="shared" si="0"/>
        <v>281.97000000000003</v>
      </c>
      <c r="AM5" s="4151">
        <f t="shared" si="0"/>
        <v>0</v>
      </c>
      <c r="AN5" s="4151">
        <f t="shared" si="0"/>
        <v>0</v>
      </c>
      <c r="AO5" s="4151">
        <f t="shared" si="0"/>
        <v>0</v>
      </c>
      <c r="AP5" s="4151">
        <f t="shared" si="0"/>
        <v>0</v>
      </c>
      <c r="AQ5" s="4151">
        <f t="shared" si="0"/>
        <v>0</v>
      </c>
      <c r="AR5" s="4151">
        <f t="shared" si="0"/>
        <v>0</v>
      </c>
      <c r="AS5" s="4151">
        <f t="shared" si="0"/>
        <v>0</v>
      </c>
      <c r="AT5" s="4151">
        <f t="shared" si="0"/>
        <v>0</v>
      </c>
      <c r="AU5" s="4360"/>
      <c r="AV5" s="4357" t="s">
        <v>1057</v>
      </c>
      <c r="AW5" s="4358"/>
      <c r="AX5" s="4358"/>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1">
        <f t="shared" si="1"/>
        <v>0</v>
      </c>
    </row>
    <row r="6" spans="1:72" s="4362" customFormat="1" ht="12.75">
      <c r="A6" s="4357" t="s">
        <v>1058</v>
      </c>
      <c r="B6" s="4358"/>
      <c r="C6" s="4358"/>
      <c r="D6" s="4359"/>
      <c r="E6" s="4151">
        <f>H6+AC6+AT6</f>
        <v>6294.36</v>
      </c>
      <c r="F6" s="4151" t="s">
        <v>0</v>
      </c>
      <c r="G6" s="4151" t="s">
        <v>1</v>
      </c>
      <c r="H6" s="4348">
        <f>SUMIF(I$12:AB$12,"总值",I6:AB6)</f>
        <v>6249.66</v>
      </c>
      <c r="I6" s="4151">
        <f t="shared" ref="I6:AB6" si="2">ROUND($A$3*I5/$B$3,2)</f>
        <v>5105.33</v>
      </c>
      <c r="J6" s="4151">
        <f t="shared" si="2"/>
        <v>0</v>
      </c>
      <c r="K6" s="4151">
        <f t="shared" si="2"/>
        <v>1144.33</v>
      </c>
      <c r="L6" s="4151">
        <f t="shared" si="2"/>
        <v>0</v>
      </c>
      <c r="M6" s="4151">
        <f t="shared" si="2"/>
        <v>0</v>
      </c>
      <c r="N6" s="4151">
        <f t="shared" si="2"/>
        <v>0</v>
      </c>
      <c r="O6" s="4151">
        <f t="shared" si="2"/>
        <v>0</v>
      </c>
      <c r="P6" s="4151">
        <f t="shared" si="2"/>
        <v>0</v>
      </c>
      <c r="Q6" s="4151">
        <f t="shared" si="2"/>
        <v>0</v>
      </c>
      <c r="R6" s="4151">
        <f t="shared" si="2"/>
        <v>0</v>
      </c>
      <c r="S6" s="4151">
        <f t="shared" si="2"/>
        <v>0</v>
      </c>
      <c r="T6" s="4151">
        <f t="shared" si="2"/>
        <v>0</v>
      </c>
      <c r="U6" s="4151">
        <f t="shared" si="2"/>
        <v>0</v>
      </c>
      <c r="V6" s="4151">
        <f t="shared" si="2"/>
        <v>0</v>
      </c>
      <c r="W6" s="4151">
        <f t="shared" si="2"/>
        <v>0</v>
      </c>
      <c r="X6" s="4151">
        <f t="shared" si="2"/>
        <v>0</v>
      </c>
      <c r="Y6" s="4151">
        <f t="shared" si="2"/>
        <v>0</v>
      </c>
      <c r="Z6" s="4151">
        <f t="shared" si="2"/>
        <v>0</v>
      </c>
      <c r="AA6" s="4151">
        <f t="shared" si="2"/>
        <v>0</v>
      </c>
      <c r="AB6" s="4151">
        <f t="shared" si="2"/>
        <v>0</v>
      </c>
      <c r="AC6" s="4348">
        <f>SUMIF(AD$12:AS$12,"总值",AD6:AS6)</f>
        <v>44.7</v>
      </c>
      <c r="AD6" s="4151">
        <f t="shared" ref="AD6:AS6" si="3">ROUND($A$3*AD5/$B$3,2)</f>
        <v>0</v>
      </c>
      <c r="AE6" s="4151">
        <f t="shared" si="3"/>
        <v>0</v>
      </c>
      <c r="AF6" s="4151">
        <f t="shared" si="3"/>
        <v>0</v>
      </c>
      <c r="AG6" s="4151">
        <f t="shared" si="3"/>
        <v>0</v>
      </c>
      <c r="AH6" s="4151">
        <f t="shared" si="3"/>
        <v>0</v>
      </c>
      <c r="AI6" s="4151">
        <f t="shared" si="3"/>
        <v>0</v>
      </c>
      <c r="AJ6" s="4151">
        <f t="shared" si="3"/>
        <v>0</v>
      </c>
      <c r="AK6" s="4151">
        <f t="shared" si="3"/>
        <v>0</v>
      </c>
      <c r="AL6" s="4151">
        <f t="shared" si="3"/>
        <v>44.7</v>
      </c>
      <c r="AM6" s="4151">
        <f t="shared" si="3"/>
        <v>0</v>
      </c>
      <c r="AN6" s="4151">
        <f t="shared" si="3"/>
        <v>0</v>
      </c>
      <c r="AO6" s="4151">
        <f t="shared" si="3"/>
        <v>0</v>
      </c>
      <c r="AP6" s="4151">
        <f t="shared" si="3"/>
        <v>0</v>
      </c>
      <c r="AQ6" s="4151">
        <f t="shared" si="3"/>
        <v>0</v>
      </c>
      <c r="AR6" s="4151">
        <f t="shared" si="3"/>
        <v>0</v>
      </c>
      <c r="AS6" s="4151">
        <f t="shared" si="3"/>
        <v>0</v>
      </c>
      <c r="AT6" s="4348">
        <f>IF(C3="是",ROUND($A$3*AT5/$B$3,2),0)</f>
        <v>0</v>
      </c>
      <c r="AU6" s="4360"/>
      <c r="AV6" s="4357" t="s">
        <v>1058</v>
      </c>
      <c r="AW6" s="4358"/>
      <c r="AX6" s="4358"/>
      <c r="AY6" s="4363">
        <f>IF(AY3&gt;0,AY3,ROUND($A$3*AZ5/$B$3,2))</f>
        <v>6294.36</v>
      </c>
      <c r="AZ6" s="4151" t="s">
        <v>2</v>
      </c>
      <c r="BA6" s="4151">
        <f>ROUND($AY$6*BA5/$AZ$5,2)</f>
        <v>6249.66</v>
      </c>
      <c r="BB6" s="4151">
        <f>ROUND($AY$6*BB5/$AZ$5,2)</f>
        <v>5105.33</v>
      </c>
      <c r="BC6" s="4151">
        <f t="shared" ref="BC6:BH6" si="4">ROUND($AY$6*BC5/$AZ$5,2)</f>
        <v>1144.33</v>
      </c>
      <c r="BD6" s="4151">
        <f t="shared" si="4"/>
        <v>0</v>
      </c>
      <c r="BE6" s="4151">
        <f t="shared" si="4"/>
        <v>0</v>
      </c>
      <c r="BF6" s="4151">
        <f t="shared" si="4"/>
        <v>0</v>
      </c>
      <c r="BG6" s="4151">
        <f t="shared" si="4"/>
        <v>0</v>
      </c>
      <c r="BH6" s="4151">
        <f t="shared" si="4"/>
        <v>0</v>
      </c>
      <c r="BI6" s="4151">
        <f t="shared" ref="BI6:BT6" si="5">ROUND($AY$6*BI5/$AZ$5,2)</f>
        <v>0</v>
      </c>
      <c r="BJ6" s="4151">
        <f t="shared" si="5"/>
        <v>0</v>
      </c>
      <c r="BK6" s="4151">
        <f t="shared" si="5"/>
        <v>0</v>
      </c>
      <c r="BL6" s="4151">
        <f t="shared" si="5"/>
        <v>44.7</v>
      </c>
      <c r="BM6" s="4151">
        <f t="shared" si="5"/>
        <v>0</v>
      </c>
      <c r="BN6" s="4151">
        <f t="shared" si="5"/>
        <v>0</v>
      </c>
      <c r="BO6" s="4151">
        <f t="shared" si="5"/>
        <v>0</v>
      </c>
      <c r="BP6" s="4151">
        <f t="shared" si="5"/>
        <v>0</v>
      </c>
      <c r="BQ6" s="4151">
        <f t="shared" si="5"/>
        <v>44.7</v>
      </c>
      <c r="BR6" s="4151">
        <f t="shared" si="5"/>
        <v>0</v>
      </c>
      <c r="BS6" s="4151">
        <f t="shared" si="5"/>
        <v>0</v>
      </c>
      <c r="BT6" s="4364">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3236</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3859</v>
      </c>
      <c r="E13" s="4151">
        <f>IF($C$3="是",ROUND($A$3*G13/$B$3,2),ROUND($A$3*(G13-AT13)/$B$3,2))</f>
        <v>6294.36</v>
      </c>
      <c r="F13" s="642"/>
      <c r="G13" s="4347">
        <f>H13+AC13+AT13</f>
        <v>39707.96</v>
      </c>
      <c r="H13" s="4348">
        <f>SUMIF(I$12:AB$12,"总值",I13:AB13)</f>
        <v>39425.99</v>
      </c>
      <c r="I13" s="4468">
        <v>32206.959999999999</v>
      </c>
      <c r="J13" s="4468"/>
      <c r="K13" s="4468">
        <v>7219.03</v>
      </c>
      <c r="L13" s="4349"/>
      <c r="M13" s="4349"/>
      <c r="N13" s="4349"/>
      <c r="O13" s="4349"/>
      <c r="P13" s="4349"/>
      <c r="Q13" s="4349"/>
      <c r="R13" s="4349"/>
      <c r="S13" s="4349"/>
      <c r="T13" s="4349"/>
      <c r="U13" s="4349"/>
      <c r="V13" s="4349"/>
      <c r="W13" s="4349"/>
      <c r="X13" s="4349"/>
      <c r="Y13" s="4349"/>
      <c r="Z13" s="4349"/>
      <c r="AA13" s="4349"/>
      <c r="AB13" s="4349"/>
      <c r="AC13" s="4151">
        <f>SUMIF(AD$12:AS$12,"总值",AD13:AS13)</f>
        <v>281.97000000000003</v>
      </c>
      <c r="AD13" s="4350"/>
      <c r="AE13" s="4350"/>
      <c r="AF13" s="4350"/>
      <c r="AG13" s="4350"/>
      <c r="AH13" s="4350"/>
      <c r="AI13" s="4350"/>
      <c r="AJ13" s="4350"/>
      <c r="AK13" s="4350"/>
      <c r="AL13" s="4350">
        <v>281.97000000000003</v>
      </c>
      <c r="AM13" s="4350"/>
      <c r="AN13" s="4350"/>
      <c r="AO13" s="4350"/>
      <c r="AP13" s="4350"/>
      <c r="AQ13" s="4350"/>
      <c r="AR13" s="4350"/>
      <c r="AS13" s="4350"/>
      <c r="AT13" s="4351"/>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1">
        <f>IF($C$3="是",ROUND($A$3*G14/$B$3,2),ROUND($A$3*(G14-AT14)/$B$3,2))</f>
        <v>0</v>
      </c>
      <c r="F14" s="642"/>
      <c r="G14" s="4347">
        <f>H14+AC14+AT14</f>
        <v>0</v>
      </c>
      <c r="H14" s="4348">
        <f>SUMIF(I$12:AB$12,"总值",I14:AB14)</f>
        <v>0</v>
      </c>
      <c r="I14" s="4349"/>
      <c r="J14" s="4349"/>
      <c r="K14" s="4349"/>
      <c r="L14" s="4349"/>
      <c r="M14" s="4349"/>
      <c r="N14" s="4349"/>
      <c r="O14" s="4349"/>
      <c r="P14" s="4349"/>
      <c r="Q14" s="4349"/>
      <c r="R14" s="4349"/>
      <c r="S14" s="4349"/>
      <c r="T14" s="4349"/>
      <c r="U14" s="4349"/>
      <c r="V14" s="4349"/>
      <c r="W14" s="4349"/>
      <c r="X14" s="4349"/>
      <c r="Y14" s="4349"/>
      <c r="Z14" s="4349"/>
      <c r="AA14" s="4349"/>
      <c r="AB14" s="4349"/>
      <c r="AC14" s="4151">
        <f>SUMIF(AD$12:AS$12,"总值",AD14:AS14)</f>
        <v>0</v>
      </c>
      <c r="AD14" s="4350"/>
      <c r="AE14" s="4350"/>
      <c r="AF14" s="4350"/>
      <c r="AG14" s="4350"/>
      <c r="AH14" s="4350"/>
      <c r="AI14" s="4350"/>
      <c r="AJ14" s="4350"/>
      <c r="AK14" s="4350"/>
      <c r="AL14" s="4350"/>
      <c r="AM14" s="4350"/>
      <c r="AN14" s="4350"/>
      <c r="AO14" s="4350"/>
      <c r="AP14" s="4350"/>
      <c r="AQ14" s="4350"/>
      <c r="AR14" s="4350"/>
      <c r="AS14" s="4350"/>
      <c r="AT14" s="4351"/>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1">
        <f>IF($C$3="是",ROUND($A$3*G15/$B$3,2),ROUND($A$3*(G15-AT15)/$B$3,2))</f>
        <v>0</v>
      </c>
      <c r="F15" s="642"/>
      <c r="G15" s="4347">
        <f>H15+AC15+AT15</f>
        <v>0</v>
      </c>
      <c r="H15" s="4348">
        <f>SUMIF(I$12:AB$12,"总值",I15:AB15)</f>
        <v>0</v>
      </c>
      <c r="I15" s="4349"/>
      <c r="J15" s="4349"/>
      <c r="K15" s="4349"/>
      <c r="L15" s="4349"/>
      <c r="M15" s="4349"/>
      <c r="N15" s="4349"/>
      <c r="O15" s="4349"/>
      <c r="P15" s="4349"/>
      <c r="Q15" s="4349"/>
      <c r="R15" s="4349"/>
      <c r="S15" s="4349"/>
      <c r="T15" s="4349"/>
      <c r="U15" s="4349"/>
      <c r="V15" s="4349"/>
      <c r="W15" s="4349"/>
      <c r="X15" s="4349"/>
      <c r="Y15" s="4349"/>
      <c r="Z15" s="4349"/>
      <c r="AA15" s="4349"/>
      <c r="AB15" s="4349"/>
      <c r="AC15" s="4151">
        <f>SUMIF(AD$12:AS$12,"总值",AD15:AS15)</f>
        <v>0</v>
      </c>
      <c r="AD15" s="4350"/>
      <c r="AE15" s="4350"/>
      <c r="AF15" s="4350"/>
      <c r="AG15" s="4350"/>
      <c r="AH15" s="4350"/>
      <c r="AI15" s="4350"/>
      <c r="AJ15" s="4350"/>
      <c r="AK15" s="4350"/>
      <c r="AL15" s="4350"/>
      <c r="AM15" s="4350"/>
      <c r="AN15" s="4350"/>
      <c r="AO15" s="4350"/>
      <c r="AP15" s="4350"/>
      <c r="AQ15" s="4350"/>
      <c r="AR15" s="4350"/>
      <c r="AS15" s="4350"/>
      <c r="AT15" s="4351"/>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1">
        <f>IF($C$3="是",ROUND($A$3*G16/$B$3,2),ROUND($A$3*(G16-AT16)/$B$3,2))</f>
        <v>0</v>
      </c>
      <c r="F16" s="642"/>
      <c r="G16" s="4347">
        <f>H16+AC16+AT16</f>
        <v>0</v>
      </c>
      <c r="H16" s="4348">
        <f>SUMIF(I$12:AB$12,"总值",I16:AB16)</f>
        <v>0</v>
      </c>
      <c r="I16" s="4349"/>
      <c r="J16" s="4349"/>
      <c r="K16" s="4349"/>
      <c r="L16" s="4349"/>
      <c r="M16" s="4349"/>
      <c r="N16" s="4349"/>
      <c r="O16" s="4349"/>
      <c r="P16" s="4349"/>
      <c r="Q16" s="4349"/>
      <c r="R16" s="4349"/>
      <c r="S16" s="4349"/>
      <c r="T16" s="4349"/>
      <c r="U16" s="4349"/>
      <c r="V16" s="4349"/>
      <c r="W16" s="4349"/>
      <c r="X16" s="4349"/>
      <c r="Y16" s="4349"/>
      <c r="Z16" s="4349"/>
      <c r="AA16" s="4349"/>
      <c r="AB16" s="4349"/>
      <c r="AC16" s="4151">
        <f>SUMIF(AD$12:AS$12,"总值",AD16:AS16)</f>
        <v>0</v>
      </c>
      <c r="AD16" s="4350"/>
      <c r="AE16" s="4350"/>
      <c r="AF16" s="4350"/>
      <c r="AG16" s="4350"/>
      <c r="AH16" s="4350"/>
      <c r="AI16" s="4350"/>
      <c r="AJ16" s="4350"/>
      <c r="AK16" s="4350"/>
      <c r="AL16" s="4350"/>
      <c r="AM16" s="4350"/>
      <c r="AN16" s="4350"/>
      <c r="AO16" s="4350"/>
      <c r="AP16" s="4350"/>
      <c r="AQ16" s="4350"/>
      <c r="AR16" s="4350"/>
      <c r="AS16" s="4350"/>
      <c r="AT16" s="4351"/>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1">
        <f>IF($C$3="是",ROUND($A$3*G17/$B$3,2),ROUND($A$3*(G17-AT17)/$B$3,2))</f>
        <v>0</v>
      </c>
      <c r="F17" s="642"/>
      <c r="G17" s="4347">
        <f>H17+AC17+AT17</f>
        <v>0</v>
      </c>
      <c r="H17" s="4348">
        <f>SUMIF(I$12:AB$12,"总值",I17:AB17)</f>
        <v>0</v>
      </c>
      <c r="I17" s="4349"/>
      <c r="J17" s="4349"/>
      <c r="K17" s="4349"/>
      <c r="L17" s="4349"/>
      <c r="M17" s="4349"/>
      <c r="N17" s="4349"/>
      <c r="O17" s="4349"/>
      <c r="P17" s="4349"/>
      <c r="Q17" s="4349"/>
      <c r="R17" s="4349"/>
      <c r="S17" s="4349"/>
      <c r="T17" s="4349"/>
      <c r="U17" s="4349"/>
      <c r="V17" s="4349"/>
      <c r="W17" s="4349"/>
      <c r="X17" s="4349"/>
      <c r="Y17" s="4349"/>
      <c r="Z17" s="4349"/>
      <c r="AA17" s="4349"/>
      <c r="AB17" s="4349"/>
      <c r="AC17" s="4151">
        <f>SUMIF(AD$12:AS$12,"总值",AD17:AS17)</f>
        <v>0</v>
      </c>
      <c r="AD17" s="4350"/>
      <c r="AE17" s="4350"/>
      <c r="AF17" s="4350"/>
      <c r="AG17" s="4350"/>
      <c r="AH17" s="4350"/>
      <c r="AI17" s="4350"/>
      <c r="AJ17" s="4350"/>
      <c r="AK17" s="4350"/>
      <c r="AL17" s="4350"/>
      <c r="AM17" s="4350"/>
      <c r="AN17" s="4350"/>
      <c r="AO17" s="4350"/>
      <c r="AP17" s="4350"/>
      <c r="AQ17" s="4350"/>
      <c r="AR17" s="4350"/>
      <c r="AS17" s="4350"/>
      <c r="AT17" s="4351"/>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2">
        <f t="shared" ref="G18:G109" si="8">H18+AC18+AT18</f>
        <v>0</v>
      </c>
      <c r="H18" s="4353">
        <f t="shared" ref="H18:H109" si="9">SUMIF(I$12:AB$12,"总值",I18:AB18)</f>
        <v>0</v>
      </c>
      <c r="I18" s="4354"/>
      <c r="J18" s="4354"/>
      <c r="K18" s="4354"/>
      <c r="L18" s="4354"/>
      <c r="M18" s="4354"/>
      <c r="N18" s="4354"/>
      <c r="O18" s="4354"/>
      <c r="P18" s="4354"/>
      <c r="Q18" s="4354"/>
      <c r="R18" s="4354"/>
      <c r="S18" s="4354"/>
      <c r="T18" s="4354"/>
      <c r="U18" s="4354"/>
      <c r="V18" s="4354"/>
      <c r="W18" s="4354"/>
      <c r="X18" s="4354"/>
      <c r="Y18" s="4354"/>
      <c r="Z18" s="4354"/>
      <c r="AA18" s="4354"/>
      <c r="AB18" s="4354"/>
      <c r="AC18" s="403">
        <f t="shared" ref="AC18:AC109" si="10">SUMIF(AD$12:AS$12,"总值",AD18:AS18)</f>
        <v>0</v>
      </c>
      <c r="AD18" s="4355"/>
      <c r="AE18" s="4355"/>
      <c r="AF18" s="4355"/>
      <c r="AG18" s="4355"/>
      <c r="AH18" s="4355"/>
      <c r="AI18" s="4355"/>
      <c r="AJ18" s="4355"/>
      <c r="AK18" s="4355"/>
      <c r="AL18" s="4355"/>
      <c r="AM18" s="4355"/>
      <c r="AN18" s="4355"/>
      <c r="AO18" s="4355"/>
      <c r="AP18" s="4355"/>
      <c r="AQ18" s="4355"/>
      <c r="AR18" s="4355"/>
      <c r="AS18" s="4355"/>
      <c r="AT18" s="4356"/>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2">
        <f t="shared" si="8"/>
        <v>0</v>
      </c>
      <c r="H19" s="4353">
        <f t="shared" si="9"/>
        <v>0</v>
      </c>
      <c r="I19" s="4354"/>
      <c r="J19" s="4354"/>
      <c r="K19" s="4354"/>
      <c r="L19" s="4354"/>
      <c r="M19" s="4354"/>
      <c r="N19" s="4354"/>
      <c r="O19" s="4354"/>
      <c r="P19" s="4354"/>
      <c r="Q19" s="4354"/>
      <c r="R19" s="4354"/>
      <c r="S19" s="4354"/>
      <c r="T19" s="4354"/>
      <c r="U19" s="4354"/>
      <c r="V19" s="4354"/>
      <c r="W19" s="4354"/>
      <c r="X19" s="4354"/>
      <c r="Y19" s="4354"/>
      <c r="Z19" s="4354"/>
      <c r="AA19" s="4354"/>
      <c r="AB19" s="4354"/>
      <c r="AC19" s="403">
        <f t="shared" si="10"/>
        <v>0</v>
      </c>
      <c r="AD19" s="4355"/>
      <c r="AE19" s="4355"/>
      <c r="AF19" s="4355"/>
      <c r="AG19" s="4355"/>
      <c r="AH19" s="4355"/>
      <c r="AI19" s="4355"/>
      <c r="AJ19" s="4355"/>
      <c r="AK19" s="4355"/>
      <c r="AL19" s="4355"/>
      <c r="AM19" s="4355"/>
      <c r="AN19" s="4355"/>
      <c r="AO19" s="4355"/>
      <c r="AP19" s="4355"/>
      <c r="AQ19" s="4355"/>
      <c r="AR19" s="4355"/>
      <c r="AS19" s="4355"/>
      <c r="AT19" s="4356"/>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2">
        <f t="shared" si="8"/>
        <v>0</v>
      </c>
      <c r="H20" s="4353">
        <f t="shared" si="9"/>
        <v>0</v>
      </c>
      <c r="I20" s="4354"/>
      <c r="J20" s="4354"/>
      <c r="K20" s="4354"/>
      <c r="L20" s="4354"/>
      <c r="M20" s="4354"/>
      <c r="N20" s="4354"/>
      <c r="O20" s="4354"/>
      <c r="P20" s="4354"/>
      <c r="Q20" s="4354"/>
      <c r="R20" s="4354"/>
      <c r="S20" s="4354"/>
      <c r="T20" s="4354"/>
      <c r="U20" s="4354"/>
      <c r="V20" s="4354"/>
      <c r="W20" s="4354"/>
      <c r="X20" s="4354"/>
      <c r="Y20" s="4354"/>
      <c r="Z20" s="4354"/>
      <c r="AA20" s="4354"/>
      <c r="AB20" s="4354"/>
      <c r="AC20" s="403">
        <f t="shared" si="10"/>
        <v>0</v>
      </c>
      <c r="AD20" s="4355"/>
      <c r="AE20" s="4355"/>
      <c r="AF20" s="4355"/>
      <c r="AG20" s="4355"/>
      <c r="AH20" s="4355"/>
      <c r="AI20" s="4355"/>
      <c r="AJ20" s="4355"/>
      <c r="AK20" s="4355"/>
      <c r="AL20" s="4355"/>
      <c r="AM20" s="4355"/>
      <c r="AN20" s="4355"/>
      <c r="AO20" s="4355"/>
      <c r="AP20" s="4355"/>
      <c r="AQ20" s="4355"/>
      <c r="AR20" s="4355"/>
      <c r="AS20" s="4355"/>
      <c r="AT20" s="4356"/>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2">
        <f t="shared" si="8"/>
        <v>0</v>
      </c>
      <c r="H21" s="4353">
        <f t="shared" si="9"/>
        <v>0</v>
      </c>
      <c r="I21" s="4354"/>
      <c r="J21" s="4354"/>
      <c r="K21" s="4354"/>
      <c r="L21" s="4354"/>
      <c r="M21" s="4354"/>
      <c r="N21" s="4354"/>
      <c r="O21" s="4354"/>
      <c r="P21" s="4354"/>
      <c r="Q21" s="4354"/>
      <c r="R21" s="4354"/>
      <c r="S21" s="4354"/>
      <c r="T21" s="4354"/>
      <c r="U21" s="4354"/>
      <c r="V21" s="4354"/>
      <c r="W21" s="4354"/>
      <c r="X21" s="4354"/>
      <c r="Y21" s="4354"/>
      <c r="Z21" s="4354"/>
      <c r="AA21" s="4354"/>
      <c r="AB21" s="4354"/>
      <c r="AC21" s="403">
        <f t="shared" si="10"/>
        <v>0</v>
      </c>
      <c r="AD21" s="4355"/>
      <c r="AE21" s="4355"/>
      <c r="AF21" s="4355"/>
      <c r="AG21" s="4355"/>
      <c r="AH21" s="4355"/>
      <c r="AI21" s="4355"/>
      <c r="AJ21" s="4355"/>
      <c r="AK21" s="4355"/>
      <c r="AL21" s="4355"/>
      <c r="AM21" s="4355"/>
      <c r="AN21" s="4355"/>
      <c r="AO21" s="4355"/>
      <c r="AP21" s="4355"/>
      <c r="AQ21" s="4355"/>
      <c r="AR21" s="4355"/>
      <c r="AS21" s="4355"/>
      <c r="AT21" s="4356"/>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2">
        <f t="shared" si="8"/>
        <v>0</v>
      </c>
      <c r="H22" s="4353">
        <f t="shared" si="9"/>
        <v>0</v>
      </c>
      <c r="I22" s="4354"/>
      <c r="J22" s="4354"/>
      <c r="K22" s="4354"/>
      <c r="L22" s="4354"/>
      <c r="M22" s="4354"/>
      <c r="N22" s="4354"/>
      <c r="O22" s="4354"/>
      <c r="P22" s="4354"/>
      <c r="Q22" s="4354"/>
      <c r="R22" s="4354"/>
      <c r="S22" s="4354"/>
      <c r="T22" s="4354"/>
      <c r="U22" s="4354"/>
      <c r="V22" s="4354"/>
      <c r="W22" s="4354"/>
      <c r="X22" s="4354"/>
      <c r="Y22" s="4354"/>
      <c r="Z22" s="4354"/>
      <c r="AA22" s="4354"/>
      <c r="AB22" s="4354"/>
      <c r="AC22" s="403">
        <f t="shared" si="10"/>
        <v>0</v>
      </c>
      <c r="AD22" s="4355"/>
      <c r="AE22" s="4355"/>
      <c r="AF22" s="4355"/>
      <c r="AG22" s="4355"/>
      <c r="AH22" s="4355"/>
      <c r="AI22" s="4355"/>
      <c r="AJ22" s="4355"/>
      <c r="AK22" s="4355"/>
      <c r="AL22" s="4355"/>
      <c r="AM22" s="4355"/>
      <c r="AN22" s="4355"/>
      <c r="AO22" s="4355"/>
      <c r="AP22" s="4355"/>
      <c r="AQ22" s="4355"/>
      <c r="AR22" s="4355"/>
      <c r="AS22" s="4355"/>
      <c r="AT22" s="4356"/>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2">
        <f t="shared" si="8"/>
        <v>0</v>
      </c>
      <c r="H23" s="4353">
        <f t="shared" si="9"/>
        <v>0</v>
      </c>
      <c r="I23" s="4354"/>
      <c r="J23" s="4354"/>
      <c r="K23" s="4354"/>
      <c r="L23" s="4354"/>
      <c r="M23" s="4354"/>
      <c r="N23" s="4354"/>
      <c r="O23" s="4354"/>
      <c r="P23" s="4354"/>
      <c r="Q23" s="4354"/>
      <c r="R23" s="4354"/>
      <c r="S23" s="4354"/>
      <c r="T23" s="4354"/>
      <c r="U23" s="4354"/>
      <c r="V23" s="4354"/>
      <c r="W23" s="4354"/>
      <c r="X23" s="4354"/>
      <c r="Y23" s="4354"/>
      <c r="Z23" s="4354"/>
      <c r="AA23" s="4354"/>
      <c r="AB23" s="4354"/>
      <c r="AC23" s="403">
        <f t="shared" si="10"/>
        <v>0</v>
      </c>
      <c r="AD23" s="4355"/>
      <c r="AE23" s="4355"/>
      <c r="AF23" s="4355"/>
      <c r="AG23" s="4355"/>
      <c r="AH23" s="4355"/>
      <c r="AI23" s="4355"/>
      <c r="AJ23" s="4355"/>
      <c r="AK23" s="4355"/>
      <c r="AL23" s="4355"/>
      <c r="AM23" s="4355"/>
      <c r="AN23" s="4355"/>
      <c r="AO23" s="4355"/>
      <c r="AP23" s="4355"/>
      <c r="AQ23" s="4355"/>
      <c r="AR23" s="4355"/>
      <c r="AS23" s="4355"/>
      <c r="AT23" s="4356"/>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2">
        <f t="shared" si="8"/>
        <v>0</v>
      </c>
      <c r="H24" s="4353">
        <f t="shared" si="9"/>
        <v>0</v>
      </c>
      <c r="I24" s="4354"/>
      <c r="J24" s="4354"/>
      <c r="K24" s="4354"/>
      <c r="L24" s="4354"/>
      <c r="M24" s="4354"/>
      <c r="N24" s="4354"/>
      <c r="O24" s="4354"/>
      <c r="P24" s="4354"/>
      <c r="Q24" s="4354"/>
      <c r="R24" s="4354"/>
      <c r="S24" s="4354"/>
      <c r="T24" s="4354"/>
      <c r="U24" s="4354"/>
      <c r="V24" s="4354"/>
      <c r="W24" s="4354"/>
      <c r="X24" s="4354"/>
      <c r="Y24" s="4354"/>
      <c r="Z24" s="4354"/>
      <c r="AA24" s="4354"/>
      <c r="AB24" s="4354"/>
      <c r="AC24" s="403">
        <f t="shared" si="10"/>
        <v>0</v>
      </c>
      <c r="AD24" s="4355"/>
      <c r="AE24" s="4355"/>
      <c r="AF24" s="4355"/>
      <c r="AG24" s="4355"/>
      <c r="AH24" s="4355"/>
      <c r="AI24" s="4355"/>
      <c r="AJ24" s="4355"/>
      <c r="AK24" s="4355"/>
      <c r="AL24" s="4355"/>
      <c r="AM24" s="4355"/>
      <c r="AN24" s="4355"/>
      <c r="AO24" s="4355"/>
      <c r="AP24" s="4355"/>
      <c r="AQ24" s="4355"/>
      <c r="AR24" s="4355"/>
      <c r="AS24" s="4355"/>
      <c r="AT24" s="4356"/>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2">
        <f t="shared" si="8"/>
        <v>0</v>
      </c>
      <c r="H25" s="4353">
        <f t="shared" si="9"/>
        <v>0</v>
      </c>
      <c r="I25" s="4354"/>
      <c r="J25" s="4354"/>
      <c r="K25" s="4354"/>
      <c r="L25" s="4354"/>
      <c r="M25" s="4354"/>
      <c r="N25" s="4354"/>
      <c r="O25" s="4354"/>
      <c r="P25" s="4354"/>
      <c r="Q25" s="4354"/>
      <c r="R25" s="4354"/>
      <c r="S25" s="4354"/>
      <c r="T25" s="4354"/>
      <c r="U25" s="4354"/>
      <c r="V25" s="4354"/>
      <c r="W25" s="4354"/>
      <c r="X25" s="4354"/>
      <c r="Y25" s="4354"/>
      <c r="Z25" s="4354"/>
      <c r="AA25" s="4354"/>
      <c r="AB25" s="4354"/>
      <c r="AC25" s="403">
        <f t="shared" si="10"/>
        <v>0</v>
      </c>
      <c r="AD25" s="4355"/>
      <c r="AE25" s="4355"/>
      <c r="AF25" s="4355"/>
      <c r="AG25" s="4355"/>
      <c r="AH25" s="4355"/>
      <c r="AI25" s="4355"/>
      <c r="AJ25" s="4355"/>
      <c r="AK25" s="4355"/>
      <c r="AL25" s="4355"/>
      <c r="AM25" s="4355"/>
      <c r="AN25" s="4355"/>
      <c r="AO25" s="4355"/>
      <c r="AP25" s="4355"/>
      <c r="AQ25" s="4355"/>
      <c r="AR25" s="4355"/>
      <c r="AS25" s="4355"/>
      <c r="AT25" s="4356"/>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2">
        <f t="shared" si="8"/>
        <v>0</v>
      </c>
      <c r="H26" s="4353">
        <f t="shared" si="9"/>
        <v>0</v>
      </c>
      <c r="I26" s="4354"/>
      <c r="J26" s="4354"/>
      <c r="K26" s="4354"/>
      <c r="L26" s="4354"/>
      <c r="M26" s="4354"/>
      <c r="N26" s="4354"/>
      <c r="O26" s="4354"/>
      <c r="P26" s="4354"/>
      <c r="Q26" s="4354"/>
      <c r="R26" s="4354"/>
      <c r="S26" s="4354"/>
      <c r="T26" s="4354"/>
      <c r="U26" s="4354"/>
      <c r="V26" s="4354"/>
      <c r="W26" s="4354"/>
      <c r="X26" s="4354"/>
      <c r="Y26" s="4354"/>
      <c r="Z26" s="4354"/>
      <c r="AA26" s="4354"/>
      <c r="AB26" s="4354"/>
      <c r="AC26" s="403">
        <f t="shared" si="10"/>
        <v>0</v>
      </c>
      <c r="AD26" s="4355"/>
      <c r="AE26" s="4355"/>
      <c r="AF26" s="4355"/>
      <c r="AG26" s="4355"/>
      <c r="AH26" s="4355"/>
      <c r="AI26" s="4355"/>
      <c r="AJ26" s="4355"/>
      <c r="AK26" s="4355"/>
      <c r="AL26" s="4355"/>
      <c r="AM26" s="4355"/>
      <c r="AN26" s="4355"/>
      <c r="AO26" s="4355"/>
      <c r="AP26" s="4355"/>
      <c r="AQ26" s="4355"/>
      <c r="AR26" s="4355"/>
      <c r="AS26" s="4355"/>
      <c r="AT26" s="4356"/>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2">
        <f t="shared" si="8"/>
        <v>0</v>
      </c>
      <c r="H27" s="4353">
        <f t="shared" si="9"/>
        <v>0</v>
      </c>
      <c r="I27" s="4354"/>
      <c r="J27" s="4354"/>
      <c r="K27" s="4354"/>
      <c r="L27" s="4354"/>
      <c r="M27" s="4354"/>
      <c r="N27" s="4354"/>
      <c r="O27" s="4354"/>
      <c r="P27" s="4354"/>
      <c r="Q27" s="4354"/>
      <c r="R27" s="4354"/>
      <c r="S27" s="4354"/>
      <c r="T27" s="4354"/>
      <c r="U27" s="4354"/>
      <c r="V27" s="4354"/>
      <c r="W27" s="4354"/>
      <c r="X27" s="4354"/>
      <c r="Y27" s="4354"/>
      <c r="Z27" s="4354"/>
      <c r="AA27" s="4354"/>
      <c r="AB27" s="4354"/>
      <c r="AC27" s="403">
        <f t="shared" si="10"/>
        <v>0</v>
      </c>
      <c r="AD27" s="4355"/>
      <c r="AE27" s="4355"/>
      <c r="AF27" s="4355"/>
      <c r="AG27" s="4355"/>
      <c r="AH27" s="4355"/>
      <c r="AI27" s="4355"/>
      <c r="AJ27" s="4355"/>
      <c r="AK27" s="4355"/>
      <c r="AL27" s="4355"/>
      <c r="AM27" s="4355"/>
      <c r="AN27" s="4355"/>
      <c r="AO27" s="4355"/>
      <c r="AP27" s="4355"/>
      <c r="AQ27" s="4355"/>
      <c r="AR27" s="4355"/>
      <c r="AS27" s="4355"/>
      <c r="AT27" s="4356"/>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2">
        <f t="shared" si="8"/>
        <v>0</v>
      </c>
      <c r="H28" s="4353">
        <f t="shared" si="9"/>
        <v>0</v>
      </c>
      <c r="I28" s="4354"/>
      <c r="J28" s="4354"/>
      <c r="K28" s="4354"/>
      <c r="L28" s="4354"/>
      <c r="M28" s="4354"/>
      <c r="N28" s="4354"/>
      <c r="O28" s="4354"/>
      <c r="P28" s="4354"/>
      <c r="Q28" s="4354"/>
      <c r="R28" s="4354"/>
      <c r="S28" s="4354"/>
      <c r="T28" s="4354"/>
      <c r="U28" s="4354"/>
      <c r="V28" s="4354"/>
      <c r="W28" s="4354"/>
      <c r="X28" s="4354"/>
      <c r="Y28" s="4354"/>
      <c r="Z28" s="4354"/>
      <c r="AA28" s="4354"/>
      <c r="AB28" s="4354"/>
      <c r="AC28" s="403">
        <f t="shared" si="10"/>
        <v>0</v>
      </c>
      <c r="AD28" s="4355"/>
      <c r="AE28" s="4355"/>
      <c r="AF28" s="4355"/>
      <c r="AG28" s="4355"/>
      <c r="AH28" s="4355"/>
      <c r="AI28" s="4355"/>
      <c r="AJ28" s="4355"/>
      <c r="AK28" s="4355"/>
      <c r="AL28" s="4355"/>
      <c r="AM28" s="4355"/>
      <c r="AN28" s="4355"/>
      <c r="AO28" s="4355"/>
      <c r="AP28" s="4355"/>
      <c r="AQ28" s="4355"/>
      <c r="AR28" s="4355"/>
      <c r="AS28" s="4355"/>
      <c r="AT28" s="4356"/>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2">
        <f t="shared" si="8"/>
        <v>0</v>
      </c>
      <c r="H29" s="4353">
        <f t="shared" si="9"/>
        <v>0</v>
      </c>
      <c r="I29" s="4354"/>
      <c r="J29" s="4354"/>
      <c r="K29" s="4354"/>
      <c r="L29" s="4354"/>
      <c r="M29" s="4354"/>
      <c r="N29" s="4354"/>
      <c r="O29" s="4354"/>
      <c r="P29" s="4354"/>
      <c r="Q29" s="4354"/>
      <c r="R29" s="4354"/>
      <c r="S29" s="4354"/>
      <c r="T29" s="4354"/>
      <c r="U29" s="4354"/>
      <c r="V29" s="4354"/>
      <c r="W29" s="4354"/>
      <c r="X29" s="4354"/>
      <c r="Y29" s="4354"/>
      <c r="Z29" s="4354"/>
      <c r="AA29" s="4354"/>
      <c r="AB29" s="4354"/>
      <c r="AC29" s="403">
        <f t="shared" si="10"/>
        <v>0</v>
      </c>
      <c r="AD29" s="4355"/>
      <c r="AE29" s="4355"/>
      <c r="AF29" s="4355"/>
      <c r="AG29" s="4355"/>
      <c r="AH29" s="4355"/>
      <c r="AI29" s="4355"/>
      <c r="AJ29" s="4355"/>
      <c r="AK29" s="4355"/>
      <c r="AL29" s="4355"/>
      <c r="AM29" s="4355"/>
      <c r="AN29" s="4355"/>
      <c r="AO29" s="4355"/>
      <c r="AP29" s="4355"/>
      <c r="AQ29" s="4355"/>
      <c r="AR29" s="4355"/>
      <c r="AS29" s="4355"/>
      <c r="AT29" s="4356"/>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2">
        <f t="shared" si="8"/>
        <v>0</v>
      </c>
      <c r="H30" s="4353">
        <f t="shared" si="9"/>
        <v>0</v>
      </c>
      <c r="I30" s="4354"/>
      <c r="J30" s="4354"/>
      <c r="K30" s="4354"/>
      <c r="L30" s="4354"/>
      <c r="M30" s="4354"/>
      <c r="N30" s="4354"/>
      <c r="O30" s="4354"/>
      <c r="P30" s="4354"/>
      <c r="Q30" s="4354"/>
      <c r="R30" s="4354"/>
      <c r="S30" s="4354"/>
      <c r="T30" s="4354"/>
      <c r="U30" s="4354"/>
      <c r="V30" s="4354"/>
      <c r="W30" s="4354"/>
      <c r="X30" s="4354"/>
      <c r="Y30" s="4354"/>
      <c r="Z30" s="4354"/>
      <c r="AA30" s="4354"/>
      <c r="AB30" s="4354"/>
      <c r="AC30" s="403">
        <f t="shared" si="10"/>
        <v>0</v>
      </c>
      <c r="AD30" s="4355"/>
      <c r="AE30" s="4355"/>
      <c r="AF30" s="4355"/>
      <c r="AG30" s="4355"/>
      <c r="AH30" s="4355"/>
      <c r="AI30" s="4355"/>
      <c r="AJ30" s="4355"/>
      <c r="AK30" s="4355"/>
      <c r="AL30" s="4355"/>
      <c r="AM30" s="4355"/>
      <c r="AN30" s="4355"/>
      <c r="AO30" s="4355"/>
      <c r="AP30" s="4355"/>
      <c r="AQ30" s="4355"/>
      <c r="AR30" s="4355"/>
      <c r="AS30" s="4355"/>
      <c r="AT30" s="4356"/>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2">
        <f t="shared" si="8"/>
        <v>0</v>
      </c>
      <c r="H31" s="4353">
        <f t="shared" si="9"/>
        <v>0</v>
      </c>
      <c r="I31" s="4354"/>
      <c r="J31" s="4354"/>
      <c r="K31" s="4354"/>
      <c r="L31" s="4354"/>
      <c r="M31" s="4354"/>
      <c r="N31" s="4354"/>
      <c r="O31" s="4354"/>
      <c r="P31" s="4354"/>
      <c r="Q31" s="4354"/>
      <c r="R31" s="4354"/>
      <c r="S31" s="4354"/>
      <c r="T31" s="4354"/>
      <c r="U31" s="4354"/>
      <c r="V31" s="4354"/>
      <c r="W31" s="4354"/>
      <c r="X31" s="4354"/>
      <c r="Y31" s="4354"/>
      <c r="Z31" s="4354"/>
      <c r="AA31" s="4354"/>
      <c r="AB31" s="4354"/>
      <c r="AC31" s="403">
        <f t="shared" si="10"/>
        <v>0</v>
      </c>
      <c r="AD31" s="4355"/>
      <c r="AE31" s="4355"/>
      <c r="AF31" s="4355"/>
      <c r="AG31" s="4355"/>
      <c r="AH31" s="4355"/>
      <c r="AI31" s="4355"/>
      <c r="AJ31" s="4355"/>
      <c r="AK31" s="4355"/>
      <c r="AL31" s="4355"/>
      <c r="AM31" s="4355"/>
      <c r="AN31" s="4355"/>
      <c r="AO31" s="4355"/>
      <c r="AP31" s="4355"/>
      <c r="AQ31" s="4355"/>
      <c r="AR31" s="4355"/>
      <c r="AS31" s="4355"/>
      <c r="AT31" s="4356"/>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2">
        <f t="shared" si="8"/>
        <v>0</v>
      </c>
      <c r="H32" s="4353">
        <f t="shared" si="9"/>
        <v>0</v>
      </c>
      <c r="I32" s="4354"/>
      <c r="J32" s="4354"/>
      <c r="K32" s="4354"/>
      <c r="L32" s="4354"/>
      <c r="M32" s="4354"/>
      <c r="N32" s="4354"/>
      <c r="O32" s="4354"/>
      <c r="P32" s="4354"/>
      <c r="Q32" s="4354"/>
      <c r="R32" s="4354"/>
      <c r="S32" s="4354"/>
      <c r="T32" s="4354"/>
      <c r="U32" s="4354"/>
      <c r="V32" s="4354"/>
      <c r="W32" s="4354"/>
      <c r="X32" s="4354"/>
      <c r="Y32" s="4354"/>
      <c r="Z32" s="4354"/>
      <c r="AA32" s="4354"/>
      <c r="AB32" s="4354"/>
      <c r="AC32" s="403">
        <f t="shared" si="10"/>
        <v>0</v>
      </c>
      <c r="AD32" s="4355"/>
      <c r="AE32" s="4355"/>
      <c r="AF32" s="4355"/>
      <c r="AG32" s="4355"/>
      <c r="AH32" s="4355"/>
      <c r="AI32" s="4355"/>
      <c r="AJ32" s="4355"/>
      <c r="AK32" s="4355"/>
      <c r="AL32" s="4355"/>
      <c r="AM32" s="4355"/>
      <c r="AN32" s="4355"/>
      <c r="AO32" s="4355"/>
      <c r="AP32" s="4355"/>
      <c r="AQ32" s="4355"/>
      <c r="AR32" s="4355"/>
      <c r="AS32" s="4355"/>
      <c r="AT32" s="4356"/>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2">
        <f t="shared" si="8"/>
        <v>0</v>
      </c>
      <c r="H33" s="4353">
        <f t="shared" si="9"/>
        <v>0</v>
      </c>
      <c r="I33" s="4354"/>
      <c r="J33" s="4354"/>
      <c r="K33" s="4354"/>
      <c r="L33" s="4354"/>
      <c r="M33" s="4354"/>
      <c r="N33" s="4354"/>
      <c r="O33" s="4354"/>
      <c r="P33" s="4354"/>
      <c r="Q33" s="4354"/>
      <c r="R33" s="4354"/>
      <c r="S33" s="4354"/>
      <c r="T33" s="4354"/>
      <c r="U33" s="4354"/>
      <c r="V33" s="4354"/>
      <c r="W33" s="4354"/>
      <c r="X33" s="4354"/>
      <c r="Y33" s="4354"/>
      <c r="Z33" s="4354"/>
      <c r="AA33" s="4354"/>
      <c r="AB33" s="4354"/>
      <c r="AC33" s="403">
        <f t="shared" si="10"/>
        <v>0</v>
      </c>
      <c r="AD33" s="4355"/>
      <c r="AE33" s="4355"/>
      <c r="AF33" s="4355"/>
      <c r="AG33" s="4355"/>
      <c r="AH33" s="4355"/>
      <c r="AI33" s="4355"/>
      <c r="AJ33" s="4355"/>
      <c r="AK33" s="4355"/>
      <c r="AL33" s="4355"/>
      <c r="AM33" s="4355"/>
      <c r="AN33" s="4355"/>
      <c r="AO33" s="4355"/>
      <c r="AP33" s="4355"/>
      <c r="AQ33" s="4355"/>
      <c r="AR33" s="4355"/>
      <c r="AS33" s="4355"/>
      <c r="AT33" s="4356"/>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2">
        <f t="shared" si="8"/>
        <v>0</v>
      </c>
      <c r="H34" s="4353">
        <f t="shared" si="9"/>
        <v>0</v>
      </c>
      <c r="I34" s="4354"/>
      <c r="J34" s="4354"/>
      <c r="K34" s="4354"/>
      <c r="L34" s="4354"/>
      <c r="M34" s="4354"/>
      <c r="N34" s="4354"/>
      <c r="O34" s="4354"/>
      <c r="P34" s="4354"/>
      <c r="Q34" s="4354"/>
      <c r="R34" s="4354"/>
      <c r="S34" s="4354"/>
      <c r="T34" s="4354"/>
      <c r="U34" s="4354"/>
      <c r="V34" s="4354"/>
      <c r="W34" s="4354"/>
      <c r="X34" s="4354"/>
      <c r="Y34" s="4354"/>
      <c r="Z34" s="4354"/>
      <c r="AA34" s="4354"/>
      <c r="AB34" s="4354"/>
      <c r="AC34" s="403">
        <f t="shared" si="10"/>
        <v>0</v>
      </c>
      <c r="AD34" s="4355"/>
      <c r="AE34" s="4355"/>
      <c r="AF34" s="4355"/>
      <c r="AG34" s="4355"/>
      <c r="AH34" s="4355"/>
      <c r="AI34" s="4355"/>
      <c r="AJ34" s="4355"/>
      <c r="AK34" s="4355"/>
      <c r="AL34" s="4355"/>
      <c r="AM34" s="4355"/>
      <c r="AN34" s="4355"/>
      <c r="AO34" s="4355"/>
      <c r="AP34" s="4355"/>
      <c r="AQ34" s="4355"/>
      <c r="AR34" s="4355"/>
      <c r="AS34" s="4355"/>
      <c r="AT34" s="4356"/>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2">
        <f t="shared" si="8"/>
        <v>0</v>
      </c>
      <c r="H35" s="4353">
        <f t="shared" si="9"/>
        <v>0</v>
      </c>
      <c r="I35" s="4354"/>
      <c r="J35" s="4354"/>
      <c r="K35" s="4354"/>
      <c r="L35" s="4354"/>
      <c r="M35" s="4354"/>
      <c r="N35" s="4354"/>
      <c r="O35" s="4354"/>
      <c r="P35" s="4354"/>
      <c r="Q35" s="4354"/>
      <c r="R35" s="4354"/>
      <c r="S35" s="4354"/>
      <c r="T35" s="4354"/>
      <c r="U35" s="4354"/>
      <c r="V35" s="4354"/>
      <c r="W35" s="4354"/>
      <c r="X35" s="4354"/>
      <c r="Y35" s="4354"/>
      <c r="Z35" s="4354"/>
      <c r="AA35" s="4354"/>
      <c r="AB35" s="4354"/>
      <c r="AC35" s="403">
        <f t="shared" si="10"/>
        <v>0</v>
      </c>
      <c r="AD35" s="4355"/>
      <c r="AE35" s="4355"/>
      <c r="AF35" s="4355"/>
      <c r="AG35" s="4355"/>
      <c r="AH35" s="4355"/>
      <c r="AI35" s="4355"/>
      <c r="AJ35" s="4355"/>
      <c r="AK35" s="4355"/>
      <c r="AL35" s="4355"/>
      <c r="AM35" s="4355"/>
      <c r="AN35" s="4355"/>
      <c r="AO35" s="4355"/>
      <c r="AP35" s="4355"/>
      <c r="AQ35" s="4355"/>
      <c r="AR35" s="4355"/>
      <c r="AS35" s="4355"/>
      <c r="AT35" s="4356"/>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2">
        <f t="shared" si="8"/>
        <v>0</v>
      </c>
      <c r="H36" s="4353">
        <f t="shared" si="9"/>
        <v>0</v>
      </c>
      <c r="I36" s="4354"/>
      <c r="J36" s="4354"/>
      <c r="K36" s="4354"/>
      <c r="L36" s="4354"/>
      <c r="M36" s="4354"/>
      <c r="N36" s="4354"/>
      <c r="O36" s="4354"/>
      <c r="P36" s="4354"/>
      <c r="Q36" s="4354"/>
      <c r="R36" s="4354"/>
      <c r="S36" s="4354"/>
      <c r="T36" s="4354"/>
      <c r="U36" s="4354"/>
      <c r="V36" s="4354"/>
      <c r="W36" s="4354"/>
      <c r="X36" s="4354"/>
      <c r="Y36" s="4354"/>
      <c r="Z36" s="4354"/>
      <c r="AA36" s="4354"/>
      <c r="AB36" s="4354"/>
      <c r="AC36" s="403">
        <f t="shared" si="10"/>
        <v>0</v>
      </c>
      <c r="AD36" s="4355"/>
      <c r="AE36" s="4355"/>
      <c r="AF36" s="4355"/>
      <c r="AG36" s="4355"/>
      <c r="AH36" s="4355"/>
      <c r="AI36" s="4355"/>
      <c r="AJ36" s="4355"/>
      <c r="AK36" s="4355"/>
      <c r="AL36" s="4355"/>
      <c r="AM36" s="4355"/>
      <c r="AN36" s="4355"/>
      <c r="AO36" s="4355"/>
      <c r="AP36" s="4355"/>
      <c r="AQ36" s="4355"/>
      <c r="AR36" s="4355"/>
      <c r="AS36" s="4355"/>
      <c r="AT36" s="4356"/>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2">
        <f t="shared" si="8"/>
        <v>0</v>
      </c>
      <c r="H37" s="4353">
        <f t="shared" si="9"/>
        <v>0</v>
      </c>
      <c r="I37" s="4354"/>
      <c r="J37" s="4354"/>
      <c r="K37" s="4354"/>
      <c r="L37" s="4354"/>
      <c r="M37" s="4354"/>
      <c r="N37" s="4354"/>
      <c r="O37" s="4354"/>
      <c r="P37" s="4354"/>
      <c r="Q37" s="4354"/>
      <c r="R37" s="4354"/>
      <c r="S37" s="4354"/>
      <c r="T37" s="4354"/>
      <c r="U37" s="4354"/>
      <c r="V37" s="4354"/>
      <c r="W37" s="4354"/>
      <c r="X37" s="4354"/>
      <c r="Y37" s="4354"/>
      <c r="Z37" s="4354"/>
      <c r="AA37" s="4354"/>
      <c r="AB37" s="4354"/>
      <c r="AC37" s="403">
        <f t="shared" si="10"/>
        <v>0</v>
      </c>
      <c r="AD37" s="4355"/>
      <c r="AE37" s="4355"/>
      <c r="AF37" s="4355"/>
      <c r="AG37" s="4355"/>
      <c r="AH37" s="4355"/>
      <c r="AI37" s="4355"/>
      <c r="AJ37" s="4355"/>
      <c r="AK37" s="4355"/>
      <c r="AL37" s="4355"/>
      <c r="AM37" s="4355"/>
      <c r="AN37" s="4355"/>
      <c r="AO37" s="4355"/>
      <c r="AP37" s="4355"/>
      <c r="AQ37" s="4355"/>
      <c r="AR37" s="4355"/>
      <c r="AS37" s="4355"/>
      <c r="AT37" s="4356"/>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2">
        <f t="shared" si="8"/>
        <v>0</v>
      </c>
      <c r="H38" s="4353">
        <f t="shared" si="9"/>
        <v>0</v>
      </c>
      <c r="I38" s="4354"/>
      <c r="J38" s="4354"/>
      <c r="K38" s="4354"/>
      <c r="L38" s="4354"/>
      <c r="M38" s="4354"/>
      <c r="N38" s="4354"/>
      <c r="O38" s="4354"/>
      <c r="P38" s="4354"/>
      <c r="Q38" s="4354"/>
      <c r="R38" s="4354"/>
      <c r="S38" s="4354"/>
      <c r="T38" s="4354"/>
      <c r="U38" s="4354"/>
      <c r="V38" s="4354"/>
      <c r="W38" s="4354"/>
      <c r="X38" s="4354"/>
      <c r="Y38" s="4354"/>
      <c r="Z38" s="4354"/>
      <c r="AA38" s="4354"/>
      <c r="AB38" s="4354"/>
      <c r="AC38" s="403">
        <f t="shared" si="10"/>
        <v>0</v>
      </c>
      <c r="AD38" s="4355"/>
      <c r="AE38" s="4355"/>
      <c r="AF38" s="4355"/>
      <c r="AG38" s="4355"/>
      <c r="AH38" s="4355"/>
      <c r="AI38" s="4355"/>
      <c r="AJ38" s="4355"/>
      <c r="AK38" s="4355"/>
      <c r="AL38" s="4355"/>
      <c r="AM38" s="4355"/>
      <c r="AN38" s="4355"/>
      <c r="AO38" s="4355"/>
      <c r="AP38" s="4355"/>
      <c r="AQ38" s="4355"/>
      <c r="AR38" s="4355"/>
      <c r="AS38" s="4355"/>
      <c r="AT38" s="4356"/>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2">
        <f t="shared" si="8"/>
        <v>0</v>
      </c>
      <c r="H39" s="4353">
        <f t="shared" si="9"/>
        <v>0</v>
      </c>
      <c r="I39" s="4354"/>
      <c r="J39" s="4354"/>
      <c r="K39" s="4354"/>
      <c r="L39" s="4354"/>
      <c r="M39" s="4354"/>
      <c r="N39" s="4354"/>
      <c r="O39" s="4354"/>
      <c r="P39" s="4354"/>
      <c r="Q39" s="4354"/>
      <c r="R39" s="4354"/>
      <c r="S39" s="4354"/>
      <c r="T39" s="4354"/>
      <c r="U39" s="4354"/>
      <c r="V39" s="4354"/>
      <c r="W39" s="4354"/>
      <c r="X39" s="4354"/>
      <c r="Y39" s="4354"/>
      <c r="Z39" s="4354"/>
      <c r="AA39" s="4354"/>
      <c r="AB39" s="4354"/>
      <c r="AC39" s="403">
        <f t="shared" si="10"/>
        <v>0</v>
      </c>
      <c r="AD39" s="4355"/>
      <c r="AE39" s="4355"/>
      <c r="AF39" s="4355"/>
      <c r="AG39" s="4355"/>
      <c r="AH39" s="4355"/>
      <c r="AI39" s="4355"/>
      <c r="AJ39" s="4355"/>
      <c r="AK39" s="4355"/>
      <c r="AL39" s="4355"/>
      <c r="AM39" s="4355"/>
      <c r="AN39" s="4355"/>
      <c r="AO39" s="4355"/>
      <c r="AP39" s="4355"/>
      <c r="AQ39" s="4355"/>
      <c r="AR39" s="4355"/>
      <c r="AS39" s="4355"/>
      <c r="AT39" s="4356"/>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2">
        <f t="shared" si="8"/>
        <v>0</v>
      </c>
      <c r="H40" s="4353">
        <f t="shared" si="9"/>
        <v>0</v>
      </c>
      <c r="I40" s="4354"/>
      <c r="J40" s="4354"/>
      <c r="K40" s="4354"/>
      <c r="L40" s="4354"/>
      <c r="M40" s="4354"/>
      <c r="N40" s="4354"/>
      <c r="O40" s="4354"/>
      <c r="P40" s="4354"/>
      <c r="Q40" s="4354"/>
      <c r="R40" s="4354"/>
      <c r="S40" s="4354"/>
      <c r="T40" s="4354"/>
      <c r="U40" s="4354"/>
      <c r="V40" s="4354"/>
      <c r="W40" s="4354"/>
      <c r="X40" s="4354"/>
      <c r="Y40" s="4354"/>
      <c r="Z40" s="4354"/>
      <c r="AA40" s="4354"/>
      <c r="AB40" s="4354"/>
      <c r="AC40" s="403">
        <f t="shared" si="10"/>
        <v>0</v>
      </c>
      <c r="AD40" s="4355"/>
      <c r="AE40" s="4355"/>
      <c r="AF40" s="4355"/>
      <c r="AG40" s="4355"/>
      <c r="AH40" s="4355"/>
      <c r="AI40" s="4355"/>
      <c r="AJ40" s="4355"/>
      <c r="AK40" s="4355"/>
      <c r="AL40" s="4355"/>
      <c r="AM40" s="4355"/>
      <c r="AN40" s="4355"/>
      <c r="AO40" s="4355"/>
      <c r="AP40" s="4355"/>
      <c r="AQ40" s="4355"/>
      <c r="AR40" s="4355"/>
      <c r="AS40" s="4355"/>
      <c r="AT40" s="4356"/>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2">
        <f t="shared" si="8"/>
        <v>0</v>
      </c>
      <c r="H41" s="4353">
        <f t="shared" si="9"/>
        <v>0</v>
      </c>
      <c r="I41" s="4354"/>
      <c r="J41" s="4354"/>
      <c r="K41" s="4354"/>
      <c r="L41" s="4354"/>
      <c r="M41" s="4354"/>
      <c r="N41" s="4354"/>
      <c r="O41" s="4354"/>
      <c r="P41" s="4354"/>
      <c r="Q41" s="4354"/>
      <c r="R41" s="4354"/>
      <c r="S41" s="4354"/>
      <c r="T41" s="4354"/>
      <c r="U41" s="4354"/>
      <c r="V41" s="4354"/>
      <c r="W41" s="4354"/>
      <c r="X41" s="4354"/>
      <c r="Y41" s="4354"/>
      <c r="Z41" s="4354"/>
      <c r="AA41" s="4354"/>
      <c r="AB41" s="4354"/>
      <c r="AC41" s="403">
        <f t="shared" si="10"/>
        <v>0</v>
      </c>
      <c r="AD41" s="4355"/>
      <c r="AE41" s="4355"/>
      <c r="AF41" s="4355"/>
      <c r="AG41" s="4355"/>
      <c r="AH41" s="4355"/>
      <c r="AI41" s="4355"/>
      <c r="AJ41" s="4355"/>
      <c r="AK41" s="4355"/>
      <c r="AL41" s="4355"/>
      <c r="AM41" s="4355"/>
      <c r="AN41" s="4355"/>
      <c r="AO41" s="4355"/>
      <c r="AP41" s="4355"/>
      <c r="AQ41" s="4355"/>
      <c r="AR41" s="4355"/>
      <c r="AS41" s="4355"/>
      <c r="AT41" s="4356"/>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2">
        <f t="shared" si="8"/>
        <v>0</v>
      </c>
      <c r="H42" s="4353">
        <f t="shared" si="9"/>
        <v>0</v>
      </c>
      <c r="I42" s="4354"/>
      <c r="J42" s="4354"/>
      <c r="K42" s="4354"/>
      <c r="L42" s="4354"/>
      <c r="M42" s="4354"/>
      <c r="N42" s="4354"/>
      <c r="O42" s="4354"/>
      <c r="P42" s="4354"/>
      <c r="Q42" s="4354"/>
      <c r="R42" s="4354"/>
      <c r="S42" s="4354"/>
      <c r="T42" s="4354"/>
      <c r="U42" s="4354"/>
      <c r="V42" s="4354"/>
      <c r="W42" s="4354"/>
      <c r="X42" s="4354"/>
      <c r="Y42" s="4354"/>
      <c r="Z42" s="4354"/>
      <c r="AA42" s="4354"/>
      <c r="AB42" s="4354"/>
      <c r="AC42" s="403">
        <f t="shared" si="10"/>
        <v>0</v>
      </c>
      <c r="AD42" s="4355"/>
      <c r="AE42" s="4355"/>
      <c r="AF42" s="4355"/>
      <c r="AG42" s="4355"/>
      <c r="AH42" s="4355"/>
      <c r="AI42" s="4355"/>
      <c r="AJ42" s="4355"/>
      <c r="AK42" s="4355"/>
      <c r="AL42" s="4355"/>
      <c r="AM42" s="4355"/>
      <c r="AN42" s="4355"/>
      <c r="AO42" s="4355"/>
      <c r="AP42" s="4355"/>
      <c r="AQ42" s="4355"/>
      <c r="AR42" s="4355"/>
      <c r="AS42" s="4355"/>
      <c r="AT42" s="4356"/>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2">
        <f t="shared" si="8"/>
        <v>0</v>
      </c>
      <c r="H43" s="4353">
        <f t="shared" si="9"/>
        <v>0</v>
      </c>
      <c r="I43" s="4354"/>
      <c r="J43" s="4354"/>
      <c r="K43" s="4354"/>
      <c r="L43" s="4354"/>
      <c r="M43" s="4354"/>
      <c r="N43" s="4354"/>
      <c r="O43" s="4354"/>
      <c r="P43" s="4354"/>
      <c r="Q43" s="4354"/>
      <c r="R43" s="4354"/>
      <c r="S43" s="4354"/>
      <c r="T43" s="4354"/>
      <c r="U43" s="4354"/>
      <c r="V43" s="4354"/>
      <c r="W43" s="4354"/>
      <c r="X43" s="4354"/>
      <c r="Y43" s="4354"/>
      <c r="Z43" s="4354"/>
      <c r="AA43" s="4354"/>
      <c r="AB43" s="4354"/>
      <c r="AC43" s="403">
        <f t="shared" si="10"/>
        <v>0</v>
      </c>
      <c r="AD43" s="4355"/>
      <c r="AE43" s="4355"/>
      <c r="AF43" s="4355"/>
      <c r="AG43" s="4355"/>
      <c r="AH43" s="4355"/>
      <c r="AI43" s="4355"/>
      <c r="AJ43" s="4355"/>
      <c r="AK43" s="4355"/>
      <c r="AL43" s="4355"/>
      <c r="AM43" s="4355"/>
      <c r="AN43" s="4355"/>
      <c r="AO43" s="4355"/>
      <c r="AP43" s="4355"/>
      <c r="AQ43" s="4355"/>
      <c r="AR43" s="4355"/>
      <c r="AS43" s="4355"/>
      <c r="AT43" s="4356"/>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2">
        <f t="shared" si="8"/>
        <v>0</v>
      </c>
      <c r="H44" s="4353">
        <f t="shared" si="9"/>
        <v>0</v>
      </c>
      <c r="I44" s="4354"/>
      <c r="J44" s="4354"/>
      <c r="K44" s="4354"/>
      <c r="L44" s="4354"/>
      <c r="M44" s="4354"/>
      <c r="N44" s="4354"/>
      <c r="O44" s="4354"/>
      <c r="P44" s="4354"/>
      <c r="Q44" s="4354"/>
      <c r="R44" s="4354"/>
      <c r="S44" s="4354"/>
      <c r="T44" s="4354"/>
      <c r="U44" s="4354"/>
      <c r="V44" s="4354"/>
      <c r="W44" s="4354"/>
      <c r="X44" s="4354"/>
      <c r="Y44" s="4354"/>
      <c r="Z44" s="4354"/>
      <c r="AA44" s="4354"/>
      <c r="AB44" s="4354"/>
      <c r="AC44" s="403">
        <f t="shared" si="10"/>
        <v>0</v>
      </c>
      <c r="AD44" s="4355"/>
      <c r="AE44" s="4355"/>
      <c r="AF44" s="4355"/>
      <c r="AG44" s="4355"/>
      <c r="AH44" s="4355"/>
      <c r="AI44" s="4355"/>
      <c r="AJ44" s="4355"/>
      <c r="AK44" s="4355"/>
      <c r="AL44" s="4355"/>
      <c r="AM44" s="4355"/>
      <c r="AN44" s="4355"/>
      <c r="AO44" s="4355"/>
      <c r="AP44" s="4355"/>
      <c r="AQ44" s="4355"/>
      <c r="AR44" s="4355"/>
      <c r="AS44" s="4355"/>
      <c r="AT44" s="4356"/>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2">
        <f t="shared" si="8"/>
        <v>0</v>
      </c>
      <c r="H45" s="4353">
        <f t="shared" si="9"/>
        <v>0</v>
      </c>
      <c r="I45" s="4354"/>
      <c r="J45" s="4354"/>
      <c r="K45" s="4354"/>
      <c r="L45" s="4354"/>
      <c r="M45" s="4354"/>
      <c r="N45" s="4354"/>
      <c r="O45" s="4354"/>
      <c r="P45" s="4354"/>
      <c r="Q45" s="4354"/>
      <c r="R45" s="4354"/>
      <c r="S45" s="4354"/>
      <c r="T45" s="4354"/>
      <c r="U45" s="4354"/>
      <c r="V45" s="4354"/>
      <c r="W45" s="4354"/>
      <c r="X45" s="4354"/>
      <c r="Y45" s="4354"/>
      <c r="Z45" s="4354"/>
      <c r="AA45" s="4354"/>
      <c r="AB45" s="4354"/>
      <c r="AC45" s="403">
        <f t="shared" si="10"/>
        <v>0</v>
      </c>
      <c r="AD45" s="4355"/>
      <c r="AE45" s="4355"/>
      <c r="AF45" s="4355"/>
      <c r="AG45" s="4355"/>
      <c r="AH45" s="4355"/>
      <c r="AI45" s="4355"/>
      <c r="AJ45" s="4355"/>
      <c r="AK45" s="4355"/>
      <c r="AL45" s="4355"/>
      <c r="AM45" s="4355"/>
      <c r="AN45" s="4355"/>
      <c r="AO45" s="4355"/>
      <c r="AP45" s="4355"/>
      <c r="AQ45" s="4355"/>
      <c r="AR45" s="4355"/>
      <c r="AS45" s="4355"/>
      <c r="AT45" s="4356"/>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2">
        <f t="shared" si="8"/>
        <v>0</v>
      </c>
      <c r="H46" s="4353">
        <f t="shared" si="9"/>
        <v>0</v>
      </c>
      <c r="I46" s="4354"/>
      <c r="J46" s="4354"/>
      <c r="K46" s="4354"/>
      <c r="L46" s="4354"/>
      <c r="M46" s="4354"/>
      <c r="N46" s="4354"/>
      <c r="O46" s="4354"/>
      <c r="P46" s="4354"/>
      <c r="Q46" s="4354"/>
      <c r="R46" s="4354"/>
      <c r="S46" s="4354"/>
      <c r="T46" s="4354"/>
      <c r="U46" s="4354"/>
      <c r="V46" s="4354"/>
      <c r="W46" s="4354"/>
      <c r="X46" s="4354"/>
      <c r="Y46" s="4354"/>
      <c r="Z46" s="4354"/>
      <c r="AA46" s="4354"/>
      <c r="AB46" s="4354"/>
      <c r="AC46" s="403">
        <f t="shared" si="10"/>
        <v>0</v>
      </c>
      <c r="AD46" s="4355"/>
      <c r="AE46" s="4355"/>
      <c r="AF46" s="4355"/>
      <c r="AG46" s="4355"/>
      <c r="AH46" s="4355"/>
      <c r="AI46" s="4355"/>
      <c r="AJ46" s="4355"/>
      <c r="AK46" s="4355"/>
      <c r="AL46" s="4355"/>
      <c r="AM46" s="4355"/>
      <c r="AN46" s="4355"/>
      <c r="AO46" s="4355"/>
      <c r="AP46" s="4355"/>
      <c r="AQ46" s="4355"/>
      <c r="AR46" s="4355"/>
      <c r="AS46" s="4355"/>
      <c r="AT46" s="4356"/>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2">
        <f t="shared" si="8"/>
        <v>0</v>
      </c>
      <c r="H47" s="4353">
        <f t="shared" si="9"/>
        <v>0</v>
      </c>
      <c r="I47" s="4354"/>
      <c r="J47" s="4354"/>
      <c r="K47" s="4354"/>
      <c r="L47" s="4354"/>
      <c r="M47" s="4354"/>
      <c r="N47" s="4354"/>
      <c r="O47" s="4354"/>
      <c r="P47" s="4354"/>
      <c r="Q47" s="4354"/>
      <c r="R47" s="4354"/>
      <c r="S47" s="4354"/>
      <c r="T47" s="4354"/>
      <c r="U47" s="4354"/>
      <c r="V47" s="4354"/>
      <c r="W47" s="4354"/>
      <c r="X47" s="4354"/>
      <c r="Y47" s="4354"/>
      <c r="Z47" s="4354"/>
      <c r="AA47" s="4354"/>
      <c r="AB47" s="4354"/>
      <c r="AC47" s="403">
        <f t="shared" si="10"/>
        <v>0</v>
      </c>
      <c r="AD47" s="4355"/>
      <c r="AE47" s="4355"/>
      <c r="AF47" s="4355"/>
      <c r="AG47" s="4355"/>
      <c r="AH47" s="4355"/>
      <c r="AI47" s="4355"/>
      <c r="AJ47" s="4355"/>
      <c r="AK47" s="4355"/>
      <c r="AL47" s="4355"/>
      <c r="AM47" s="4355"/>
      <c r="AN47" s="4355"/>
      <c r="AO47" s="4355"/>
      <c r="AP47" s="4355"/>
      <c r="AQ47" s="4355"/>
      <c r="AR47" s="4355"/>
      <c r="AS47" s="4355"/>
      <c r="AT47" s="4356"/>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2">
        <f t="shared" si="8"/>
        <v>0</v>
      </c>
      <c r="H48" s="4353">
        <f t="shared" si="9"/>
        <v>0</v>
      </c>
      <c r="I48" s="4354"/>
      <c r="J48" s="4354"/>
      <c r="K48" s="4354"/>
      <c r="L48" s="4354"/>
      <c r="M48" s="4354"/>
      <c r="N48" s="4354"/>
      <c r="O48" s="4354"/>
      <c r="P48" s="4354"/>
      <c r="Q48" s="4354"/>
      <c r="R48" s="4354"/>
      <c r="S48" s="4354"/>
      <c r="T48" s="4354"/>
      <c r="U48" s="4354"/>
      <c r="V48" s="4354"/>
      <c r="W48" s="4354"/>
      <c r="X48" s="4354"/>
      <c r="Y48" s="4354"/>
      <c r="Z48" s="4354"/>
      <c r="AA48" s="4354"/>
      <c r="AB48" s="4354"/>
      <c r="AC48" s="403">
        <f t="shared" si="10"/>
        <v>0</v>
      </c>
      <c r="AD48" s="4355"/>
      <c r="AE48" s="4355"/>
      <c r="AF48" s="4355"/>
      <c r="AG48" s="4355"/>
      <c r="AH48" s="4355"/>
      <c r="AI48" s="4355"/>
      <c r="AJ48" s="4355"/>
      <c r="AK48" s="4355"/>
      <c r="AL48" s="4355"/>
      <c r="AM48" s="4355"/>
      <c r="AN48" s="4355"/>
      <c r="AO48" s="4355"/>
      <c r="AP48" s="4355"/>
      <c r="AQ48" s="4355"/>
      <c r="AR48" s="4355"/>
      <c r="AS48" s="4355"/>
      <c r="AT48" s="4356"/>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2">
        <f t="shared" si="8"/>
        <v>0</v>
      </c>
      <c r="H49" s="4353">
        <f t="shared" si="9"/>
        <v>0</v>
      </c>
      <c r="I49" s="4354"/>
      <c r="J49" s="4354"/>
      <c r="K49" s="4354"/>
      <c r="L49" s="4354"/>
      <c r="M49" s="4354"/>
      <c r="N49" s="4354"/>
      <c r="O49" s="4354"/>
      <c r="P49" s="4354"/>
      <c r="Q49" s="4354"/>
      <c r="R49" s="4354"/>
      <c r="S49" s="4354"/>
      <c r="T49" s="4354"/>
      <c r="U49" s="4354"/>
      <c r="V49" s="4354"/>
      <c r="W49" s="4354"/>
      <c r="X49" s="4354"/>
      <c r="Y49" s="4354"/>
      <c r="Z49" s="4354"/>
      <c r="AA49" s="4354"/>
      <c r="AB49" s="4354"/>
      <c r="AC49" s="403">
        <f t="shared" si="10"/>
        <v>0</v>
      </c>
      <c r="AD49" s="4355"/>
      <c r="AE49" s="4355"/>
      <c r="AF49" s="4355"/>
      <c r="AG49" s="4355"/>
      <c r="AH49" s="4355"/>
      <c r="AI49" s="4355"/>
      <c r="AJ49" s="4355"/>
      <c r="AK49" s="4355"/>
      <c r="AL49" s="4355"/>
      <c r="AM49" s="4355"/>
      <c r="AN49" s="4355"/>
      <c r="AO49" s="4355"/>
      <c r="AP49" s="4355"/>
      <c r="AQ49" s="4355"/>
      <c r="AR49" s="4355"/>
      <c r="AS49" s="4355"/>
      <c r="AT49" s="4356"/>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2">
        <f t="shared" si="8"/>
        <v>0</v>
      </c>
      <c r="H50" s="4353">
        <f t="shared" si="9"/>
        <v>0</v>
      </c>
      <c r="I50" s="4354"/>
      <c r="J50" s="4354"/>
      <c r="K50" s="4354"/>
      <c r="L50" s="4354"/>
      <c r="M50" s="4354"/>
      <c r="N50" s="4354"/>
      <c r="O50" s="4354"/>
      <c r="P50" s="4354"/>
      <c r="Q50" s="4354"/>
      <c r="R50" s="4354"/>
      <c r="S50" s="4354"/>
      <c r="T50" s="4354"/>
      <c r="U50" s="4354"/>
      <c r="V50" s="4354"/>
      <c r="W50" s="4354"/>
      <c r="X50" s="4354"/>
      <c r="Y50" s="4354"/>
      <c r="Z50" s="4354"/>
      <c r="AA50" s="4354"/>
      <c r="AB50" s="4354"/>
      <c r="AC50" s="403">
        <f t="shared" si="10"/>
        <v>0</v>
      </c>
      <c r="AD50" s="4355"/>
      <c r="AE50" s="4355"/>
      <c r="AF50" s="4355"/>
      <c r="AG50" s="4355"/>
      <c r="AH50" s="4355"/>
      <c r="AI50" s="4355"/>
      <c r="AJ50" s="4355"/>
      <c r="AK50" s="4355"/>
      <c r="AL50" s="4355"/>
      <c r="AM50" s="4355"/>
      <c r="AN50" s="4355"/>
      <c r="AO50" s="4355"/>
      <c r="AP50" s="4355"/>
      <c r="AQ50" s="4355"/>
      <c r="AR50" s="4355"/>
      <c r="AS50" s="4355"/>
      <c r="AT50" s="4356"/>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2">
        <f t="shared" si="8"/>
        <v>0</v>
      </c>
      <c r="H51" s="4353">
        <f t="shared" si="9"/>
        <v>0</v>
      </c>
      <c r="I51" s="4354"/>
      <c r="J51" s="4354"/>
      <c r="K51" s="4354"/>
      <c r="L51" s="4354"/>
      <c r="M51" s="4354"/>
      <c r="N51" s="4354"/>
      <c r="O51" s="4354"/>
      <c r="P51" s="4354"/>
      <c r="Q51" s="4354"/>
      <c r="R51" s="4354"/>
      <c r="S51" s="4354"/>
      <c r="T51" s="4354"/>
      <c r="U51" s="4354"/>
      <c r="V51" s="4354"/>
      <c r="W51" s="4354"/>
      <c r="X51" s="4354"/>
      <c r="Y51" s="4354"/>
      <c r="Z51" s="4354"/>
      <c r="AA51" s="4354"/>
      <c r="AB51" s="4354"/>
      <c r="AC51" s="403">
        <f t="shared" si="10"/>
        <v>0</v>
      </c>
      <c r="AD51" s="4355"/>
      <c r="AE51" s="4355"/>
      <c r="AF51" s="4355"/>
      <c r="AG51" s="4355"/>
      <c r="AH51" s="4355"/>
      <c r="AI51" s="4355"/>
      <c r="AJ51" s="4355"/>
      <c r="AK51" s="4355"/>
      <c r="AL51" s="4355"/>
      <c r="AM51" s="4355"/>
      <c r="AN51" s="4355"/>
      <c r="AO51" s="4355"/>
      <c r="AP51" s="4355"/>
      <c r="AQ51" s="4355"/>
      <c r="AR51" s="4355"/>
      <c r="AS51" s="4355"/>
      <c r="AT51" s="4356"/>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2">
        <f t="shared" si="8"/>
        <v>0</v>
      </c>
      <c r="H52" s="4353">
        <f t="shared" si="9"/>
        <v>0</v>
      </c>
      <c r="I52" s="4354"/>
      <c r="J52" s="4354"/>
      <c r="K52" s="4354"/>
      <c r="L52" s="4354"/>
      <c r="M52" s="4354"/>
      <c r="N52" s="4354"/>
      <c r="O52" s="4354"/>
      <c r="P52" s="4354"/>
      <c r="Q52" s="4354"/>
      <c r="R52" s="4354"/>
      <c r="S52" s="4354"/>
      <c r="T52" s="4354"/>
      <c r="U52" s="4354"/>
      <c r="V52" s="4354"/>
      <c r="W52" s="4354"/>
      <c r="X52" s="4354"/>
      <c r="Y52" s="4354"/>
      <c r="Z52" s="4354"/>
      <c r="AA52" s="4354"/>
      <c r="AB52" s="4354"/>
      <c r="AC52" s="403">
        <f t="shared" si="10"/>
        <v>0</v>
      </c>
      <c r="AD52" s="4355"/>
      <c r="AE52" s="4355"/>
      <c r="AF52" s="4355"/>
      <c r="AG52" s="4355"/>
      <c r="AH52" s="4355"/>
      <c r="AI52" s="4355"/>
      <c r="AJ52" s="4355"/>
      <c r="AK52" s="4355"/>
      <c r="AL52" s="4355"/>
      <c r="AM52" s="4355"/>
      <c r="AN52" s="4355"/>
      <c r="AO52" s="4355"/>
      <c r="AP52" s="4355"/>
      <c r="AQ52" s="4355"/>
      <c r="AR52" s="4355"/>
      <c r="AS52" s="4355"/>
      <c r="AT52" s="4356"/>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2">
        <f t="shared" si="8"/>
        <v>0</v>
      </c>
      <c r="H53" s="4353">
        <f t="shared" si="9"/>
        <v>0</v>
      </c>
      <c r="I53" s="4354"/>
      <c r="J53" s="4354"/>
      <c r="K53" s="4354"/>
      <c r="L53" s="4354"/>
      <c r="M53" s="4354"/>
      <c r="N53" s="4354"/>
      <c r="O53" s="4354"/>
      <c r="P53" s="4354"/>
      <c r="Q53" s="4354"/>
      <c r="R53" s="4354"/>
      <c r="S53" s="4354"/>
      <c r="T53" s="4354"/>
      <c r="U53" s="4354"/>
      <c r="V53" s="4354"/>
      <c r="W53" s="4354"/>
      <c r="X53" s="4354"/>
      <c r="Y53" s="4354"/>
      <c r="Z53" s="4354"/>
      <c r="AA53" s="4354"/>
      <c r="AB53" s="4354"/>
      <c r="AC53" s="403">
        <f t="shared" si="10"/>
        <v>0</v>
      </c>
      <c r="AD53" s="4355"/>
      <c r="AE53" s="4355"/>
      <c r="AF53" s="4355"/>
      <c r="AG53" s="4355"/>
      <c r="AH53" s="4355"/>
      <c r="AI53" s="4355"/>
      <c r="AJ53" s="4355"/>
      <c r="AK53" s="4355"/>
      <c r="AL53" s="4355"/>
      <c r="AM53" s="4355"/>
      <c r="AN53" s="4355"/>
      <c r="AO53" s="4355"/>
      <c r="AP53" s="4355"/>
      <c r="AQ53" s="4355"/>
      <c r="AR53" s="4355"/>
      <c r="AS53" s="4355"/>
      <c r="AT53" s="4356"/>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2">
        <f t="shared" si="8"/>
        <v>0</v>
      </c>
      <c r="H54" s="4353">
        <f t="shared" si="9"/>
        <v>0</v>
      </c>
      <c r="I54" s="4354"/>
      <c r="J54" s="4354"/>
      <c r="K54" s="4354"/>
      <c r="L54" s="4354"/>
      <c r="M54" s="4354"/>
      <c r="N54" s="4354"/>
      <c r="O54" s="4354"/>
      <c r="P54" s="4354"/>
      <c r="Q54" s="4354"/>
      <c r="R54" s="4354"/>
      <c r="S54" s="4354"/>
      <c r="T54" s="4354"/>
      <c r="U54" s="4354"/>
      <c r="V54" s="4354"/>
      <c r="W54" s="4354"/>
      <c r="X54" s="4354"/>
      <c r="Y54" s="4354"/>
      <c r="Z54" s="4354"/>
      <c r="AA54" s="4354"/>
      <c r="AB54" s="4354"/>
      <c r="AC54" s="403">
        <f t="shared" si="10"/>
        <v>0</v>
      </c>
      <c r="AD54" s="4355"/>
      <c r="AE54" s="4355"/>
      <c r="AF54" s="4355"/>
      <c r="AG54" s="4355"/>
      <c r="AH54" s="4355"/>
      <c r="AI54" s="4355"/>
      <c r="AJ54" s="4355"/>
      <c r="AK54" s="4355"/>
      <c r="AL54" s="4355"/>
      <c r="AM54" s="4355"/>
      <c r="AN54" s="4355"/>
      <c r="AO54" s="4355"/>
      <c r="AP54" s="4355"/>
      <c r="AQ54" s="4355"/>
      <c r="AR54" s="4355"/>
      <c r="AS54" s="4355"/>
      <c r="AT54" s="4356"/>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2">
        <f t="shared" si="8"/>
        <v>0</v>
      </c>
      <c r="H55" s="4353">
        <f t="shared" si="9"/>
        <v>0</v>
      </c>
      <c r="I55" s="4354"/>
      <c r="J55" s="4354"/>
      <c r="K55" s="4354"/>
      <c r="L55" s="4354"/>
      <c r="M55" s="4354"/>
      <c r="N55" s="4354"/>
      <c r="O55" s="4354"/>
      <c r="P55" s="4354"/>
      <c r="Q55" s="4354"/>
      <c r="R55" s="4354"/>
      <c r="S55" s="4354"/>
      <c r="T55" s="4354"/>
      <c r="U55" s="4354"/>
      <c r="V55" s="4354"/>
      <c r="W55" s="4354"/>
      <c r="X55" s="4354"/>
      <c r="Y55" s="4354"/>
      <c r="Z55" s="4354"/>
      <c r="AA55" s="4354"/>
      <c r="AB55" s="4354"/>
      <c r="AC55" s="403">
        <f t="shared" si="10"/>
        <v>0</v>
      </c>
      <c r="AD55" s="4355"/>
      <c r="AE55" s="4355"/>
      <c r="AF55" s="4355"/>
      <c r="AG55" s="4355"/>
      <c r="AH55" s="4355"/>
      <c r="AI55" s="4355"/>
      <c r="AJ55" s="4355"/>
      <c r="AK55" s="4355"/>
      <c r="AL55" s="4355"/>
      <c r="AM55" s="4355"/>
      <c r="AN55" s="4355"/>
      <c r="AO55" s="4355"/>
      <c r="AP55" s="4355"/>
      <c r="AQ55" s="4355"/>
      <c r="AR55" s="4355"/>
      <c r="AS55" s="4355"/>
      <c r="AT55" s="4356"/>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2">
        <f t="shared" si="8"/>
        <v>0</v>
      </c>
      <c r="H56" s="4353">
        <f t="shared" si="9"/>
        <v>0</v>
      </c>
      <c r="I56" s="4354"/>
      <c r="J56" s="4354"/>
      <c r="K56" s="4354"/>
      <c r="L56" s="4354"/>
      <c r="M56" s="4354"/>
      <c r="N56" s="4354"/>
      <c r="O56" s="4354"/>
      <c r="P56" s="4354"/>
      <c r="Q56" s="4354"/>
      <c r="R56" s="4354"/>
      <c r="S56" s="4354"/>
      <c r="T56" s="4354"/>
      <c r="U56" s="4354"/>
      <c r="V56" s="4354"/>
      <c r="W56" s="4354"/>
      <c r="X56" s="4354"/>
      <c r="Y56" s="4354"/>
      <c r="Z56" s="4354"/>
      <c r="AA56" s="4354"/>
      <c r="AB56" s="4354"/>
      <c r="AC56" s="403">
        <f t="shared" si="10"/>
        <v>0</v>
      </c>
      <c r="AD56" s="4355"/>
      <c r="AE56" s="4355"/>
      <c r="AF56" s="4355"/>
      <c r="AG56" s="4355"/>
      <c r="AH56" s="4355"/>
      <c r="AI56" s="4355"/>
      <c r="AJ56" s="4355"/>
      <c r="AK56" s="4355"/>
      <c r="AL56" s="4355"/>
      <c r="AM56" s="4355"/>
      <c r="AN56" s="4355"/>
      <c r="AO56" s="4355"/>
      <c r="AP56" s="4355"/>
      <c r="AQ56" s="4355"/>
      <c r="AR56" s="4355"/>
      <c r="AS56" s="4355"/>
      <c r="AT56" s="4356"/>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2">
        <f t="shared" si="8"/>
        <v>0</v>
      </c>
      <c r="H57" s="4353">
        <f t="shared" si="9"/>
        <v>0</v>
      </c>
      <c r="I57" s="4354"/>
      <c r="J57" s="4354"/>
      <c r="K57" s="4354"/>
      <c r="L57" s="4354"/>
      <c r="M57" s="4354"/>
      <c r="N57" s="4354"/>
      <c r="O57" s="4354"/>
      <c r="P57" s="4354"/>
      <c r="Q57" s="4354"/>
      <c r="R57" s="4354"/>
      <c r="S57" s="4354"/>
      <c r="T57" s="4354"/>
      <c r="U57" s="4354"/>
      <c r="V57" s="4354"/>
      <c r="W57" s="4354"/>
      <c r="X57" s="4354"/>
      <c r="Y57" s="4354"/>
      <c r="Z57" s="4354"/>
      <c r="AA57" s="4354"/>
      <c r="AB57" s="4354"/>
      <c r="AC57" s="403">
        <f t="shared" si="10"/>
        <v>0</v>
      </c>
      <c r="AD57" s="4355"/>
      <c r="AE57" s="4355"/>
      <c r="AF57" s="4355"/>
      <c r="AG57" s="4355"/>
      <c r="AH57" s="4355"/>
      <c r="AI57" s="4355"/>
      <c r="AJ57" s="4355"/>
      <c r="AK57" s="4355"/>
      <c r="AL57" s="4355"/>
      <c r="AM57" s="4355"/>
      <c r="AN57" s="4355"/>
      <c r="AO57" s="4355"/>
      <c r="AP57" s="4355"/>
      <c r="AQ57" s="4355"/>
      <c r="AR57" s="4355"/>
      <c r="AS57" s="4355"/>
      <c r="AT57" s="4356"/>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2">
        <f t="shared" si="8"/>
        <v>0</v>
      </c>
      <c r="H58" s="4353">
        <f t="shared" si="9"/>
        <v>0</v>
      </c>
      <c r="I58" s="4354"/>
      <c r="J58" s="4354"/>
      <c r="K58" s="4354"/>
      <c r="L58" s="4354"/>
      <c r="M58" s="4354"/>
      <c r="N58" s="4354"/>
      <c r="O58" s="4354"/>
      <c r="P58" s="4354"/>
      <c r="Q58" s="4354"/>
      <c r="R58" s="4354"/>
      <c r="S58" s="4354"/>
      <c r="T58" s="4354"/>
      <c r="U58" s="4354"/>
      <c r="V58" s="4354"/>
      <c r="W58" s="4354"/>
      <c r="X58" s="4354"/>
      <c r="Y58" s="4354"/>
      <c r="Z58" s="4354"/>
      <c r="AA58" s="4354"/>
      <c r="AB58" s="4354"/>
      <c r="AC58" s="403">
        <f t="shared" si="10"/>
        <v>0</v>
      </c>
      <c r="AD58" s="4355"/>
      <c r="AE58" s="4355"/>
      <c r="AF58" s="4355"/>
      <c r="AG58" s="4355"/>
      <c r="AH58" s="4355"/>
      <c r="AI58" s="4355"/>
      <c r="AJ58" s="4355"/>
      <c r="AK58" s="4355"/>
      <c r="AL58" s="4355"/>
      <c r="AM58" s="4355"/>
      <c r="AN58" s="4355"/>
      <c r="AO58" s="4355"/>
      <c r="AP58" s="4355"/>
      <c r="AQ58" s="4355"/>
      <c r="AR58" s="4355"/>
      <c r="AS58" s="4355"/>
      <c r="AT58" s="4356"/>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2">
        <f t="shared" si="8"/>
        <v>0</v>
      </c>
      <c r="H59" s="4353">
        <f t="shared" si="9"/>
        <v>0</v>
      </c>
      <c r="I59" s="4354"/>
      <c r="J59" s="4354"/>
      <c r="K59" s="4354"/>
      <c r="L59" s="4354"/>
      <c r="M59" s="4354"/>
      <c r="N59" s="4354"/>
      <c r="O59" s="4354"/>
      <c r="P59" s="4354"/>
      <c r="Q59" s="4354"/>
      <c r="R59" s="4354"/>
      <c r="S59" s="4354"/>
      <c r="T59" s="4354"/>
      <c r="U59" s="4354"/>
      <c r="V59" s="4354"/>
      <c r="W59" s="4354"/>
      <c r="X59" s="4354"/>
      <c r="Y59" s="4354"/>
      <c r="Z59" s="4354"/>
      <c r="AA59" s="4354"/>
      <c r="AB59" s="4354"/>
      <c r="AC59" s="403">
        <f t="shared" si="10"/>
        <v>0</v>
      </c>
      <c r="AD59" s="4355"/>
      <c r="AE59" s="4355"/>
      <c r="AF59" s="4355"/>
      <c r="AG59" s="4355"/>
      <c r="AH59" s="4355"/>
      <c r="AI59" s="4355"/>
      <c r="AJ59" s="4355"/>
      <c r="AK59" s="4355"/>
      <c r="AL59" s="4355"/>
      <c r="AM59" s="4355"/>
      <c r="AN59" s="4355"/>
      <c r="AO59" s="4355"/>
      <c r="AP59" s="4355"/>
      <c r="AQ59" s="4355"/>
      <c r="AR59" s="4355"/>
      <c r="AS59" s="4355"/>
      <c r="AT59" s="4356"/>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2">
        <f t="shared" si="8"/>
        <v>0</v>
      </c>
      <c r="H60" s="4353">
        <f t="shared" si="9"/>
        <v>0</v>
      </c>
      <c r="I60" s="4354"/>
      <c r="J60" s="4354"/>
      <c r="K60" s="4354"/>
      <c r="L60" s="4354"/>
      <c r="M60" s="4354"/>
      <c r="N60" s="4354"/>
      <c r="O60" s="4354"/>
      <c r="P60" s="4354"/>
      <c r="Q60" s="4354"/>
      <c r="R60" s="4354"/>
      <c r="S60" s="4354"/>
      <c r="T60" s="4354"/>
      <c r="U60" s="4354"/>
      <c r="V60" s="4354"/>
      <c r="W60" s="4354"/>
      <c r="X60" s="4354"/>
      <c r="Y60" s="4354"/>
      <c r="Z60" s="4354"/>
      <c r="AA60" s="4354"/>
      <c r="AB60" s="4354"/>
      <c r="AC60" s="403">
        <f t="shared" si="10"/>
        <v>0</v>
      </c>
      <c r="AD60" s="4355"/>
      <c r="AE60" s="4355"/>
      <c r="AF60" s="4355"/>
      <c r="AG60" s="4355"/>
      <c r="AH60" s="4355"/>
      <c r="AI60" s="4355"/>
      <c r="AJ60" s="4355"/>
      <c r="AK60" s="4355"/>
      <c r="AL60" s="4355"/>
      <c r="AM60" s="4355"/>
      <c r="AN60" s="4355"/>
      <c r="AO60" s="4355"/>
      <c r="AP60" s="4355"/>
      <c r="AQ60" s="4355"/>
      <c r="AR60" s="4355"/>
      <c r="AS60" s="4355"/>
      <c r="AT60" s="4356"/>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2">
        <f t="shared" si="8"/>
        <v>0</v>
      </c>
      <c r="H61" s="4353">
        <f t="shared" si="9"/>
        <v>0</v>
      </c>
      <c r="I61" s="4354"/>
      <c r="J61" s="4354"/>
      <c r="K61" s="4354"/>
      <c r="L61" s="4354"/>
      <c r="M61" s="4354"/>
      <c r="N61" s="4354"/>
      <c r="O61" s="4354"/>
      <c r="P61" s="4354"/>
      <c r="Q61" s="4354"/>
      <c r="R61" s="4354"/>
      <c r="S61" s="4354"/>
      <c r="T61" s="4354"/>
      <c r="U61" s="4354"/>
      <c r="V61" s="4354"/>
      <c r="W61" s="4354"/>
      <c r="X61" s="4354"/>
      <c r="Y61" s="4354"/>
      <c r="Z61" s="4354"/>
      <c r="AA61" s="4354"/>
      <c r="AB61" s="4354"/>
      <c r="AC61" s="403">
        <f t="shared" si="10"/>
        <v>0</v>
      </c>
      <c r="AD61" s="4355"/>
      <c r="AE61" s="4355"/>
      <c r="AF61" s="4355"/>
      <c r="AG61" s="4355"/>
      <c r="AH61" s="4355"/>
      <c r="AI61" s="4355"/>
      <c r="AJ61" s="4355"/>
      <c r="AK61" s="4355"/>
      <c r="AL61" s="4355"/>
      <c r="AM61" s="4355"/>
      <c r="AN61" s="4355"/>
      <c r="AO61" s="4355"/>
      <c r="AP61" s="4355"/>
      <c r="AQ61" s="4355"/>
      <c r="AR61" s="4355"/>
      <c r="AS61" s="4355"/>
      <c r="AT61" s="4356"/>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2">
        <f t="shared" si="8"/>
        <v>0</v>
      </c>
      <c r="H62" s="4353">
        <f t="shared" si="9"/>
        <v>0</v>
      </c>
      <c r="I62" s="4354"/>
      <c r="J62" s="4354"/>
      <c r="K62" s="4354"/>
      <c r="L62" s="4354"/>
      <c r="M62" s="4354"/>
      <c r="N62" s="4354"/>
      <c r="O62" s="4354"/>
      <c r="P62" s="4354"/>
      <c r="Q62" s="4354"/>
      <c r="R62" s="4354"/>
      <c r="S62" s="4354"/>
      <c r="T62" s="4354"/>
      <c r="U62" s="4354"/>
      <c r="V62" s="4354"/>
      <c r="W62" s="4354"/>
      <c r="X62" s="4354"/>
      <c r="Y62" s="4354"/>
      <c r="Z62" s="4354"/>
      <c r="AA62" s="4354"/>
      <c r="AB62" s="4354"/>
      <c r="AC62" s="403">
        <f t="shared" si="10"/>
        <v>0</v>
      </c>
      <c r="AD62" s="4355"/>
      <c r="AE62" s="4355"/>
      <c r="AF62" s="4355"/>
      <c r="AG62" s="4355"/>
      <c r="AH62" s="4355"/>
      <c r="AI62" s="4355"/>
      <c r="AJ62" s="4355"/>
      <c r="AK62" s="4355"/>
      <c r="AL62" s="4355"/>
      <c r="AM62" s="4355"/>
      <c r="AN62" s="4355"/>
      <c r="AO62" s="4355"/>
      <c r="AP62" s="4355"/>
      <c r="AQ62" s="4355"/>
      <c r="AR62" s="4355"/>
      <c r="AS62" s="4355"/>
      <c r="AT62" s="4356"/>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2">
        <f t="shared" si="8"/>
        <v>0</v>
      </c>
      <c r="H63" s="4353">
        <f t="shared" si="9"/>
        <v>0</v>
      </c>
      <c r="I63" s="4354"/>
      <c r="J63" s="4354"/>
      <c r="K63" s="4354"/>
      <c r="L63" s="4354"/>
      <c r="M63" s="4354"/>
      <c r="N63" s="4354"/>
      <c r="O63" s="4354"/>
      <c r="P63" s="4354"/>
      <c r="Q63" s="4354"/>
      <c r="R63" s="4354"/>
      <c r="S63" s="4354"/>
      <c r="T63" s="4354"/>
      <c r="U63" s="4354"/>
      <c r="V63" s="4354"/>
      <c r="W63" s="4354"/>
      <c r="X63" s="4354"/>
      <c r="Y63" s="4354"/>
      <c r="Z63" s="4354"/>
      <c r="AA63" s="4354"/>
      <c r="AB63" s="4354"/>
      <c r="AC63" s="403">
        <f t="shared" si="10"/>
        <v>0</v>
      </c>
      <c r="AD63" s="4355"/>
      <c r="AE63" s="4355"/>
      <c r="AF63" s="4355"/>
      <c r="AG63" s="4355"/>
      <c r="AH63" s="4355"/>
      <c r="AI63" s="4355"/>
      <c r="AJ63" s="4355"/>
      <c r="AK63" s="4355"/>
      <c r="AL63" s="4355"/>
      <c r="AM63" s="4355"/>
      <c r="AN63" s="4355"/>
      <c r="AO63" s="4355"/>
      <c r="AP63" s="4355"/>
      <c r="AQ63" s="4355"/>
      <c r="AR63" s="4355"/>
      <c r="AS63" s="4355"/>
      <c r="AT63" s="4356"/>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2">
        <f t="shared" si="8"/>
        <v>0</v>
      </c>
      <c r="H64" s="4353">
        <f t="shared" si="9"/>
        <v>0</v>
      </c>
      <c r="I64" s="4354"/>
      <c r="J64" s="4354"/>
      <c r="K64" s="4354"/>
      <c r="L64" s="4354"/>
      <c r="M64" s="4354"/>
      <c r="N64" s="4354"/>
      <c r="O64" s="4354"/>
      <c r="P64" s="4354"/>
      <c r="Q64" s="4354"/>
      <c r="R64" s="4354"/>
      <c r="S64" s="4354"/>
      <c r="T64" s="4354"/>
      <c r="U64" s="4354"/>
      <c r="V64" s="4354"/>
      <c r="W64" s="4354"/>
      <c r="X64" s="4354"/>
      <c r="Y64" s="4354"/>
      <c r="Z64" s="4354"/>
      <c r="AA64" s="4354"/>
      <c r="AB64" s="4354"/>
      <c r="AC64" s="403">
        <f t="shared" si="10"/>
        <v>0</v>
      </c>
      <c r="AD64" s="4355"/>
      <c r="AE64" s="4355"/>
      <c r="AF64" s="4355"/>
      <c r="AG64" s="4355"/>
      <c r="AH64" s="4355"/>
      <c r="AI64" s="4355"/>
      <c r="AJ64" s="4355"/>
      <c r="AK64" s="4355"/>
      <c r="AL64" s="4355"/>
      <c r="AM64" s="4355"/>
      <c r="AN64" s="4355"/>
      <c r="AO64" s="4355"/>
      <c r="AP64" s="4355"/>
      <c r="AQ64" s="4355"/>
      <c r="AR64" s="4355"/>
      <c r="AS64" s="4355"/>
      <c r="AT64" s="4356"/>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2">
        <f t="shared" si="8"/>
        <v>0</v>
      </c>
      <c r="H65" s="4353">
        <f t="shared" si="9"/>
        <v>0</v>
      </c>
      <c r="I65" s="4354"/>
      <c r="J65" s="4354"/>
      <c r="K65" s="4354"/>
      <c r="L65" s="4354"/>
      <c r="M65" s="4354"/>
      <c r="N65" s="4354"/>
      <c r="O65" s="4354"/>
      <c r="P65" s="4354"/>
      <c r="Q65" s="4354"/>
      <c r="R65" s="4354"/>
      <c r="S65" s="4354"/>
      <c r="T65" s="4354"/>
      <c r="U65" s="4354"/>
      <c r="V65" s="4354"/>
      <c r="W65" s="4354"/>
      <c r="X65" s="4354"/>
      <c r="Y65" s="4354"/>
      <c r="Z65" s="4354"/>
      <c r="AA65" s="4354"/>
      <c r="AB65" s="4354"/>
      <c r="AC65" s="403">
        <f t="shared" si="10"/>
        <v>0</v>
      </c>
      <c r="AD65" s="4355"/>
      <c r="AE65" s="4355"/>
      <c r="AF65" s="4355"/>
      <c r="AG65" s="4355"/>
      <c r="AH65" s="4355"/>
      <c r="AI65" s="4355"/>
      <c r="AJ65" s="4355"/>
      <c r="AK65" s="4355"/>
      <c r="AL65" s="4355"/>
      <c r="AM65" s="4355"/>
      <c r="AN65" s="4355"/>
      <c r="AO65" s="4355"/>
      <c r="AP65" s="4355"/>
      <c r="AQ65" s="4355"/>
      <c r="AR65" s="4355"/>
      <c r="AS65" s="4355"/>
      <c r="AT65" s="4356"/>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2">
        <f t="shared" si="8"/>
        <v>0</v>
      </c>
      <c r="H66" s="4353">
        <f t="shared" si="9"/>
        <v>0</v>
      </c>
      <c r="I66" s="4354"/>
      <c r="J66" s="4354"/>
      <c r="K66" s="4354"/>
      <c r="L66" s="4354"/>
      <c r="M66" s="4354"/>
      <c r="N66" s="4354"/>
      <c r="O66" s="4354"/>
      <c r="P66" s="4354"/>
      <c r="Q66" s="4354"/>
      <c r="R66" s="4354"/>
      <c r="S66" s="4354"/>
      <c r="T66" s="4354"/>
      <c r="U66" s="4354"/>
      <c r="V66" s="4354"/>
      <c r="W66" s="4354"/>
      <c r="X66" s="4354"/>
      <c r="Y66" s="4354"/>
      <c r="Z66" s="4354"/>
      <c r="AA66" s="4354"/>
      <c r="AB66" s="4354"/>
      <c r="AC66" s="403">
        <f t="shared" si="10"/>
        <v>0</v>
      </c>
      <c r="AD66" s="4355"/>
      <c r="AE66" s="4355"/>
      <c r="AF66" s="4355"/>
      <c r="AG66" s="4355"/>
      <c r="AH66" s="4355"/>
      <c r="AI66" s="4355"/>
      <c r="AJ66" s="4355"/>
      <c r="AK66" s="4355"/>
      <c r="AL66" s="4355"/>
      <c r="AM66" s="4355"/>
      <c r="AN66" s="4355"/>
      <c r="AO66" s="4355"/>
      <c r="AP66" s="4355"/>
      <c r="AQ66" s="4355"/>
      <c r="AR66" s="4355"/>
      <c r="AS66" s="4355"/>
      <c r="AT66" s="4356"/>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2">
        <f t="shared" si="8"/>
        <v>0</v>
      </c>
      <c r="H67" s="4353">
        <f t="shared" si="9"/>
        <v>0</v>
      </c>
      <c r="I67" s="4354"/>
      <c r="J67" s="4354"/>
      <c r="K67" s="4354"/>
      <c r="L67" s="4354"/>
      <c r="M67" s="4354"/>
      <c r="N67" s="4354"/>
      <c r="O67" s="4354"/>
      <c r="P67" s="4354"/>
      <c r="Q67" s="4354"/>
      <c r="R67" s="4354"/>
      <c r="S67" s="4354"/>
      <c r="T67" s="4354"/>
      <c r="U67" s="4354"/>
      <c r="V67" s="4354"/>
      <c r="W67" s="4354"/>
      <c r="X67" s="4354"/>
      <c r="Y67" s="4354"/>
      <c r="Z67" s="4354"/>
      <c r="AA67" s="4354"/>
      <c r="AB67" s="4354"/>
      <c r="AC67" s="403">
        <f t="shared" si="10"/>
        <v>0</v>
      </c>
      <c r="AD67" s="4355"/>
      <c r="AE67" s="4355"/>
      <c r="AF67" s="4355"/>
      <c r="AG67" s="4355"/>
      <c r="AH67" s="4355"/>
      <c r="AI67" s="4355"/>
      <c r="AJ67" s="4355"/>
      <c r="AK67" s="4355"/>
      <c r="AL67" s="4355"/>
      <c r="AM67" s="4355"/>
      <c r="AN67" s="4355"/>
      <c r="AO67" s="4355"/>
      <c r="AP67" s="4355"/>
      <c r="AQ67" s="4355"/>
      <c r="AR67" s="4355"/>
      <c r="AS67" s="4355"/>
      <c r="AT67" s="4356"/>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2">
        <f t="shared" si="8"/>
        <v>0</v>
      </c>
      <c r="H68" s="4353">
        <f t="shared" si="9"/>
        <v>0</v>
      </c>
      <c r="I68" s="4354"/>
      <c r="J68" s="4354"/>
      <c r="K68" s="4354"/>
      <c r="L68" s="4354"/>
      <c r="M68" s="4354"/>
      <c r="N68" s="4354"/>
      <c r="O68" s="4354"/>
      <c r="P68" s="4354"/>
      <c r="Q68" s="4354"/>
      <c r="R68" s="4354"/>
      <c r="S68" s="4354"/>
      <c r="T68" s="4354"/>
      <c r="U68" s="4354"/>
      <c r="V68" s="4354"/>
      <c r="W68" s="4354"/>
      <c r="X68" s="4354"/>
      <c r="Y68" s="4354"/>
      <c r="Z68" s="4354"/>
      <c r="AA68" s="4354"/>
      <c r="AB68" s="4354"/>
      <c r="AC68" s="403">
        <f t="shared" si="10"/>
        <v>0</v>
      </c>
      <c r="AD68" s="4355"/>
      <c r="AE68" s="4355"/>
      <c r="AF68" s="4355"/>
      <c r="AG68" s="4355"/>
      <c r="AH68" s="4355"/>
      <c r="AI68" s="4355"/>
      <c r="AJ68" s="4355"/>
      <c r="AK68" s="4355"/>
      <c r="AL68" s="4355"/>
      <c r="AM68" s="4355"/>
      <c r="AN68" s="4355"/>
      <c r="AO68" s="4355"/>
      <c r="AP68" s="4355"/>
      <c r="AQ68" s="4355"/>
      <c r="AR68" s="4355"/>
      <c r="AS68" s="4355"/>
      <c r="AT68" s="4356"/>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2">
        <f t="shared" si="8"/>
        <v>0</v>
      </c>
      <c r="H69" s="4353">
        <f t="shared" si="9"/>
        <v>0</v>
      </c>
      <c r="I69" s="4354"/>
      <c r="J69" s="4354"/>
      <c r="K69" s="4354"/>
      <c r="L69" s="4354"/>
      <c r="M69" s="4354"/>
      <c r="N69" s="4354"/>
      <c r="O69" s="4354"/>
      <c r="P69" s="4354"/>
      <c r="Q69" s="4354"/>
      <c r="R69" s="4354"/>
      <c r="S69" s="4354"/>
      <c r="T69" s="4354"/>
      <c r="U69" s="4354"/>
      <c r="V69" s="4354"/>
      <c r="W69" s="4354"/>
      <c r="X69" s="4354"/>
      <c r="Y69" s="4354"/>
      <c r="Z69" s="4354"/>
      <c r="AA69" s="4354"/>
      <c r="AB69" s="4354"/>
      <c r="AC69" s="403">
        <f t="shared" si="10"/>
        <v>0</v>
      </c>
      <c r="AD69" s="4355"/>
      <c r="AE69" s="4355"/>
      <c r="AF69" s="4355"/>
      <c r="AG69" s="4355"/>
      <c r="AH69" s="4355"/>
      <c r="AI69" s="4355"/>
      <c r="AJ69" s="4355"/>
      <c r="AK69" s="4355"/>
      <c r="AL69" s="4355"/>
      <c r="AM69" s="4355"/>
      <c r="AN69" s="4355"/>
      <c r="AO69" s="4355"/>
      <c r="AP69" s="4355"/>
      <c r="AQ69" s="4355"/>
      <c r="AR69" s="4355"/>
      <c r="AS69" s="4355"/>
      <c r="AT69" s="4356"/>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2">
        <f t="shared" si="8"/>
        <v>0</v>
      </c>
      <c r="H70" s="4353">
        <f t="shared" si="9"/>
        <v>0</v>
      </c>
      <c r="I70" s="4354"/>
      <c r="J70" s="4354"/>
      <c r="K70" s="4354"/>
      <c r="L70" s="4354"/>
      <c r="M70" s="4354"/>
      <c r="N70" s="4354"/>
      <c r="O70" s="4354"/>
      <c r="P70" s="4354"/>
      <c r="Q70" s="4354"/>
      <c r="R70" s="4354"/>
      <c r="S70" s="4354"/>
      <c r="T70" s="4354"/>
      <c r="U70" s="4354"/>
      <c r="V70" s="4354"/>
      <c r="W70" s="4354"/>
      <c r="X70" s="4354"/>
      <c r="Y70" s="4354"/>
      <c r="Z70" s="4354"/>
      <c r="AA70" s="4354"/>
      <c r="AB70" s="4354"/>
      <c r="AC70" s="403">
        <f t="shared" si="10"/>
        <v>0</v>
      </c>
      <c r="AD70" s="4355"/>
      <c r="AE70" s="4355"/>
      <c r="AF70" s="4355"/>
      <c r="AG70" s="4355"/>
      <c r="AH70" s="4355"/>
      <c r="AI70" s="4355"/>
      <c r="AJ70" s="4355"/>
      <c r="AK70" s="4355"/>
      <c r="AL70" s="4355"/>
      <c r="AM70" s="4355"/>
      <c r="AN70" s="4355"/>
      <c r="AO70" s="4355"/>
      <c r="AP70" s="4355"/>
      <c r="AQ70" s="4355"/>
      <c r="AR70" s="4355"/>
      <c r="AS70" s="4355"/>
      <c r="AT70" s="4356"/>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2">
        <f t="shared" si="8"/>
        <v>0</v>
      </c>
      <c r="H71" s="4353">
        <f t="shared" si="9"/>
        <v>0</v>
      </c>
      <c r="I71" s="4354"/>
      <c r="J71" s="4354"/>
      <c r="K71" s="4354"/>
      <c r="L71" s="4354"/>
      <c r="M71" s="4354"/>
      <c r="N71" s="4354"/>
      <c r="O71" s="4354"/>
      <c r="P71" s="4354"/>
      <c r="Q71" s="4354"/>
      <c r="R71" s="4354"/>
      <c r="S71" s="4354"/>
      <c r="T71" s="4354"/>
      <c r="U71" s="4354"/>
      <c r="V71" s="4354"/>
      <c r="W71" s="4354"/>
      <c r="X71" s="4354"/>
      <c r="Y71" s="4354"/>
      <c r="Z71" s="4354"/>
      <c r="AA71" s="4354"/>
      <c r="AB71" s="4354"/>
      <c r="AC71" s="403">
        <f t="shared" si="10"/>
        <v>0</v>
      </c>
      <c r="AD71" s="4355"/>
      <c r="AE71" s="4355"/>
      <c r="AF71" s="4355"/>
      <c r="AG71" s="4355"/>
      <c r="AH71" s="4355"/>
      <c r="AI71" s="4355"/>
      <c r="AJ71" s="4355"/>
      <c r="AK71" s="4355"/>
      <c r="AL71" s="4355"/>
      <c r="AM71" s="4355"/>
      <c r="AN71" s="4355"/>
      <c r="AO71" s="4355"/>
      <c r="AP71" s="4355"/>
      <c r="AQ71" s="4355"/>
      <c r="AR71" s="4355"/>
      <c r="AS71" s="4355"/>
      <c r="AT71" s="4356"/>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2">
        <f t="shared" si="8"/>
        <v>0</v>
      </c>
      <c r="H72" s="4353">
        <f t="shared" si="9"/>
        <v>0</v>
      </c>
      <c r="I72" s="4354"/>
      <c r="J72" s="4354"/>
      <c r="K72" s="4354"/>
      <c r="L72" s="4354"/>
      <c r="M72" s="4354"/>
      <c r="N72" s="4354"/>
      <c r="O72" s="4354"/>
      <c r="P72" s="4354"/>
      <c r="Q72" s="4354"/>
      <c r="R72" s="4354"/>
      <c r="S72" s="4354"/>
      <c r="T72" s="4354"/>
      <c r="U72" s="4354"/>
      <c r="V72" s="4354"/>
      <c r="W72" s="4354"/>
      <c r="X72" s="4354"/>
      <c r="Y72" s="4354"/>
      <c r="Z72" s="4354"/>
      <c r="AA72" s="4354"/>
      <c r="AB72" s="4354"/>
      <c r="AC72" s="403">
        <f t="shared" si="10"/>
        <v>0</v>
      </c>
      <c r="AD72" s="4355"/>
      <c r="AE72" s="4355"/>
      <c r="AF72" s="4355"/>
      <c r="AG72" s="4355"/>
      <c r="AH72" s="4355"/>
      <c r="AI72" s="4355"/>
      <c r="AJ72" s="4355"/>
      <c r="AK72" s="4355"/>
      <c r="AL72" s="4355"/>
      <c r="AM72" s="4355"/>
      <c r="AN72" s="4355"/>
      <c r="AO72" s="4355"/>
      <c r="AP72" s="4355"/>
      <c r="AQ72" s="4355"/>
      <c r="AR72" s="4355"/>
      <c r="AS72" s="4355"/>
      <c r="AT72" s="4356"/>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2">
        <f t="shared" si="8"/>
        <v>0</v>
      </c>
      <c r="H73" s="4353">
        <f t="shared" si="9"/>
        <v>0</v>
      </c>
      <c r="I73" s="4354"/>
      <c r="J73" s="4354"/>
      <c r="K73" s="4354"/>
      <c r="L73" s="4354"/>
      <c r="M73" s="4354"/>
      <c r="N73" s="4354"/>
      <c r="O73" s="4354"/>
      <c r="P73" s="4354"/>
      <c r="Q73" s="4354"/>
      <c r="R73" s="4354"/>
      <c r="S73" s="4354"/>
      <c r="T73" s="4354"/>
      <c r="U73" s="4354"/>
      <c r="V73" s="4354"/>
      <c r="W73" s="4354"/>
      <c r="X73" s="4354"/>
      <c r="Y73" s="4354"/>
      <c r="Z73" s="4354"/>
      <c r="AA73" s="4354"/>
      <c r="AB73" s="4354"/>
      <c r="AC73" s="403">
        <f t="shared" si="10"/>
        <v>0</v>
      </c>
      <c r="AD73" s="4355"/>
      <c r="AE73" s="4355"/>
      <c r="AF73" s="4355"/>
      <c r="AG73" s="4355"/>
      <c r="AH73" s="4355"/>
      <c r="AI73" s="4355"/>
      <c r="AJ73" s="4355"/>
      <c r="AK73" s="4355"/>
      <c r="AL73" s="4355"/>
      <c r="AM73" s="4355"/>
      <c r="AN73" s="4355"/>
      <c r="AO73" s="4355"/>
      <c r="AP73" s="4355"/>
      <c r="AQ73" s="4355"/>
      <c r="AR73" s="4355"/>
      <c r="AS73" s="4355"/>
      <c r="AT73" s="4356"/>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2">
        <f t="shared" si="8"/>
        <v>0</v>
      </c>
      <c r="H74" s="4353">
        <f t="shared" si="9"/>
        <v>0</v>
      </c>
      <c r="I74" s="4354"/>
      <c r="J74" s="4354"/>
      <c r="K74" s="4354"/>
      <c r="L74" s="4354"/>
      <c r="M74" s="4354"/>
      <c r="N74" s="4354"/>
      <c r="O74" s="4354"/>
      <c r="P74" s="4354"/>
      <c r="Q74" s="4354"/>
      <c r="R74" s="4354"/>
      <c r="S74" s="4354"/>
      <c r="T74" s="4354"/>
      <c r="U74" s="4354"/>
      <c r="V74" s="4354"/>
      <c r="W74" s="4354"/>
      <c r="X74" s="4354"/>
      <c r="Y74" s="4354"/>
      <c r="Z74" s="4354"/>
      <c r="AA74" s="4354"/>
      <c r="AB74" s="4354"/>
      <c r="AC74" s="403">
        <f t="shared" si="10"/>
        <v>0</v>
      </c>
      <c r="AD74" s="4355"/>
      <c r="AE74" s="4355"/>
      <c r="AF74" s="4355"/>
      <c r="AG74" s="4355"/>
      <c r="AH74" s="4355"/>
      <c r="AI74" s="4355"/>
      <c r="AJ74" s="4355"/>
      <c r="AK74" s="4355"/>
      <c r="AL74" s="4355"/>
      <c r="AM74" s="4355"/>
      <c r="AN74" s="4355"/>
      <c r="AO74" s="4355"/>
      <c r="AP74" s="4355"/>
      <c r="AQ74" s="4355"/>
      <c r="AR74" s="4355"/>
      <c r="AS74" s="4355"/>
      <c r="AT74" s="4356"/>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2">
        <f t="shared" si="8"/>
        <v>0</v>
      </c>
      <c r="H75" s="4353">
        <f t="shared" si="9"/>
        <v>0</v>
      </c>
      <c r="I75" s="4354"/>
      <c r="J75" s="4354"/>
      <c r="K75" s="4354"/>
      <c r="L75" s="4354"/>
      <c r="M75" s="4354"/>
      <c r="N75" s="4354"/>
      <c r="O75" s="4354"/>
      <c r="P75" s="4354"/>
      <c r="Q75" s="4354"/>
      <c r="R75" s="4354"/>
      <c r="S75" s="4354"/>
      <c r="T75" s="4354"/>
      <c r="U75" s="4354"/>
      <c r="V75" s="4354"/>
      <c r="W75" s="4354"/>
      <c r="X75" s="4354"/>
      <c r="Y75" s="4354"/>
      <c r="Z75" s="4354"/>
      <c r="AA75" s="4354"/>
      <c r="AB75" s="4354"/>
      <c r="AC75" s="403">
        <f t="shared" si="10"/>
        <v>0</v>
      </c>
      <c r="AD75" s="4355"/>
      <c r="AE75" s="4355"/>
      <c r="AF75" s="4355"/>
      <c r="AG75" s="4355"/>
      <c r="AH75" s="4355"/>
      <c r="AI75" s="4355"/>
      <c r="AJ75" s="4355"/>
      <c r="AK75" s="4355"/>
      <c r="AL75" s="4355"/>
      <c r="AM75" s="4355"/>
      <c r="AN75" s="4355"/>
      <c r="AO75" s="4355"/>
      <c r="AP75" s="4355"/>
      <c r="AQ75" s="4355"/>
      <c r="AR75" s="4355"/>
      <c r="AS75" s="4355"/>
      <c r="AT75" s="4356"/>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2">
        <f t="shared" si="8"/>
        <v>0</v>
      </c>
      <c r="H76" s="4353">
        <f t="shared" si="9"/>
        <v>0</v>
      </c>
      <c r="I76" s="4354"/>
      <c r="J76" s="4354"/>
      <c r="K76" s="4354"/>
      <c r="L76" s="4354"/>
      <c r="M76" s="4354"/>
      <c r="N76" s="4354"/>
      <c r="O76" s="4354"/>
      <c r="P76" s="4354"/>
      <c r="Q76" s="4354"/>
      <c r="R76" s="4354"/>
      <c r="S76" s="4354"/>
      <c r="T76" s="4354"/>
      <c r="U76" s="4354"/>
      <c r="V76" s="4354"/>
      <c r="W76" s="4354"/>
      <c r="X76" s="4354"/>
      <c r="Y76" s="4354"/>
      <c r="Z76" s="4354"/>
      <c r="AA76" s="4354"/>
      <c r="AB76" s="4354"/>
      <c r="AC76" s="403">
        <f t="shared" si="10"/>
        <v>0</v>
      </c>
      <c r="AD76" s="4355"/>
      <c r="AE76" s="4355"/>
      <c r="AF76" s="4355"/>
      <c r="AG76" s="4355"/>
      <c r="AH76" s="4355"/>
      <c r="AI76" s="4355"/>
      <c r="AJ76" s="4355"/>
      <c r="AK76" s="4355"/>
      <c r="AL76" s="4355"/>
      <c r="AM76" s="4355"/>
      <c r="AN76" s="4355"/>
      <c r="AO76" s="4355"/>
      <c r="AP76" s="4355"/>
      <c r="AQ76" s="4355"/>
      <c r="AR76" s="4355"/>
      <c r="AS76" s="4355"/>
      <c r="AT76" s="4356"/>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2">
        <f t="shared" si="8"/>
        <v>0</v>
      </c>
      <c r="H77" s="4353">
        <f t="shared" si="9"/>
        <v>0</v>
      </c>
      <c r="I77" s="4354"/>
      <c r="J77" s="4354"/>
      <c r="K77" s="4354"/>
      <c r="L77" s="4354"/>
      <c r="M77" s="4354"/>
      <c r="N77" s="4354"/>
      <c r="O77" s="4354"/>
      <c r="P77" s="4354"/>
      <c r="Q77" s="4354"/>
      <c r="R77" s="4354"/>
      <c r="S77" s="4354"/>
      <c r="T77" s="4354"/>
      <c r="U77" s="4354"/>
      <c r="V77" s="4354"/>
      <c r="W77" s="4354"/>
      <c r="X77" s="4354"/>
      <c r="Y77" s="4354"/>
      <c r="Z77" s="4354"/>
      <c r="AA77" s="4354"/>
      <c r="AB77" s="4354"/>
      <c r="AC77" s="403">
        <f t="shared" si="10"/>
        <v>0</v>
      </c>
      <c r="AD77" s="4355"/>
      <c r="AE77" s="4355"/>
      <c r="AF77" s="4355"/>
      <c r="AG77" s="4355"/>
      <c r="AH77" s="4355"/>
      <c r="AI77" s="4355"/>
      <c r="AJ77" s="4355"/>
      <c r="AK77" s="4355"/>
      <c r="AL77" s="4355"/>
      <c r="AM77" s="4355"/>
      <c r="AN77" s="4355"/>
      <c r="AO77" s="4355"/>
      <c r="AP77" s="4355"/>
      <c r="AQ77" s="4355"/>
      <c r="AR77" s="4355"/>
      <c r="AS77" s="4355"/>
      <c r="AT77" s="4356"/>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2">
        <f t="shared" si="8"/>
        <v>0</v>
      </c>
      <c r="H78" s="4353">
        <f t="shared" si="9"/>
        <v>0</v>
      </c>
      <c r="I78" s="4354"/>
      <c r="J78" s="4354"/>
      <c r="K78" s="4354"/>
      <c r="L78" s="4354"/>
      <c r="M78" s="4354"/>
      <c r="N78" s="4354"/>
      <c r="O78" s="4354"/>
      <c r="P78" s="4354"/>
      <c r="Q78" s="4354"/>
      <c r="R78" s="4354"/>
      <c r="S78" s="4354"/>
      <c r="T78" s="4354"/>
      <c r="U78" s="4354"/>
      <c r="V78" s="4354"/>
      <c r="W78" s="4354"/>
      <c r="X78" s="4354"/>
      <c r="Y78" s="4354"/>
      <c r="Z78" s="4354"/>
      <c r="AA78" s="4354"/>
      <c r="AB78" s="4354"/>
      <c r="AC78" s="403">
        <f t="shared" si="10"/>
        <v>0</v>
      </c>
      <c r="AD78" s="4355"/>
      <c r="AE78" s="4355"/>
      <c r="AF78" s="4355"/>
      <c r="AG78" s="4355"/>
      <c r="AH78" s="4355"/>
      <c r="AI78" s="4355"/>
      <c r="AJ78" s="4355"/>
      <c r="AK78" s="4355"/>
      <c r="AL78" s="4355"/>
      <c r="AM78" s="4355"/>
      <c r="AN78" s="4355"/>
      <c r="AO78" s="4355"/>
      <c r="AP78" s="4355"/>
      <c r="AQ78" s="4355"/>
      <c r="AR78" s="4355"/>
      <c r="AS78" s="4355"/>
      <c r="AT78" s="4356"/>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2">
        <f t="shared" si="8"/>
        <v>0</v>
      </c>
      <c r="H79" s="4353">
        <f t="shared" si="9"/>
        <v>0</v>
      </c>
      <c r="I79" s="4354"/>
      <c r="J79" s="4354"/>
      <c r="K79" s="4354"/>
      <c r="L79" s="4354"/>
      <c r="M79" s="4354"/>
      <c r="N79" s="4354"/>
      <c r="O79" s="4354"/>
      <c r="P79" s="4354"/>
      <c r="Q79" s="4354"/>
      <c r="R79" s="4354"/>
      <c r="S79" s="4354"/>
      <c r="T79" s="4354"/>
      <c r="U79" s="4354"/>
      <c r="V79" s="4354"/>
      <c r="W79" s="4354"/>
      <c r="X79" s="4354"/>
      <c r="Y79" s="4354"/>
      <c r="Z79" s="4354"/>
      <c r="AA79" s="4354"/>
      <c r="AB79" s="4354"/>
      <c r="AC79" s="403">
        <f t="shared" si="10"/>
        <v>0</v>
      </c>
      <c r="AD79" s="4355"/>
      <c r="AE79" s="4355"/>
      <c r="AF79" s="4355"/>
      <c r="AG79" s="4355"/>
      <c r="AH79" s="4355"/>
      <c r="AI79" s="4355"/>
      <c r="AJ79" s="4355"/>
      <c r="AK79" s="4355"/>
      <c r="AL79" s="4355"/>
      <c r="AM79" s="4355"/>
      <c r="AN79" s="4355"/>
      <c r="AO79" s="4355"/>
      <c r="AP79" s="4355"/>
      <c r="AQ79" s="4355"/>
      <c r="AR79" s="4355"/>
      <c r="AS79" s="4355"/>
      <c r="AT79" s="4356"/>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2">
        <f t="shared" si="8"/>
        <v>0</v>
      </c>
      <c r="H80" s="4353">
        <f t="shared" si="9"/>
        <v>0</v>
      </c>
      <c r="I80" s="4354"/>
      <c r="J80" s="4354"/>
      <c r="K80" s="4354"/>
      <c r="L80" s="4354"/>
      <c r="M80" s="4354"/>
      <c r="N80" s="4354"/>
      <c r="O80" s="4354"/>
      <c r="P80" s="4354"/>
      <c r="Q80" s="4354"/>
      <c r="R80" s="4354"/>
      <c r="S80" s="4354"/>
      <c r="T80" s="4354"/>
      <c r="U80" s="4354"/>
      <c r="V80" s="4354"/>
      <c r="W80" s="4354"/>
      <c r="X80" s="4354"/>
      <c r="Y80" s="4354"/>
      <c r="Z80" s="4354"/>
      <c r="AA80" s="4354"/>
      <c r="AB80" s="4354"/>
      <c r="AC80" s="403">
        <f t="shared" si="10"/>
        <v>0</v>
      </c>
      <c r="AD80" s="4355"/>
      <c r="AE80" s="4355"/>
      <c r="AF80" s="4355"/>
      <c r="AG80" s="4355"/>
      <c r="AH80" s="4355"/>
      <c r="AI80" s="4355"/>
      <c r="AJ80" s="4355"/>
      <c r="AK80" s="4355"/>
      <c r="AL80" s="4355"/>
      <c r="AM80" s="4355"/>
      <c r="AN80" s="4355"/>
      <c r="AO80" s="4355"/>
      <c r="AP80" s="4355"/>
      <c r="AQ80" s="4355"/>
      <c r="AR80" s="4355"/>
      <c r="AS80" s="4355"/>
      <c r="AT80" s="4356"/>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2">
        <f t="shared" si="8"/>
        <v>0</v>
      </c>
      <c r="H81" s="4353">
        <f t="shared" si="9"/>
        <v>0</v>
      </c>
      <c r="I81" s="4354"/>
      <c r="J81" s="4354"/>
      <c r="K81" s="4354"/>
      <c r="L81" s="4354"/>
      <c r="M81" s="4354"/>
      <c r="N81" s="4354"/>
      <c r="O81" s="4354"/>
      <c r="P81" s="4354"/>
      <c r="Q81" s="4354"/>
      <c r="R81" s="4354"/>
      <c r="S81" s="4354"/>
      <c r="T81" s="4354"/>
      <c r="U81" s="4354"/>
      <c r="V81" s="4354"/>
      <c r="W81" s="4354"/>
      <c r="X81" s="4354"/>
      <c r="Y81" s="4354"/>
      <c r="Z81" s="4354"/>
      <c r="AA81" s="4354"/>
      <c r="AB81" s="4354"/>
      <c r="AC81" s="403">
        <f t="shared" si="10"/>
        <v>0</v>
      </c>
      <c r="AD81" s="4355"/>
      <c r="AE81" s="4355"/>
      <c r="AF81" s="4355"/>
      <c r="AG81" s="4355"/>
      <c r="AH81" s="4355"/>
      <c r="AI81" s="4355"/>
      <c r="AJ81" s="4355"/>
      <c r="AK81" s="4355"/>
      <c r="AL81" s="4355"/>
      <c r="AM81" s="4355"/>
      <c r="AN81" s="4355"/>
      <c r="AO81" s="4355"/>
      <c r="AP81" s="4355"/>
      <c r="AQ81" s="4355"/>
      <c r="AR81" s="4355"/>
      <c r="AS81" s="4355"/>
      <c r="AT81" s="4356"/>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2">
        <f t="shared" si="8"/>
        <v>0</v>
      </c>
      <c r="H82" s="4353">
        <f t="shared" si="9"/>
        <v>0</v>
      </c>
      <c r="I82" s="4354"/>
      <c r="J82" s="4354"/>
      <c r="K82" s="4354"/>
      <c r="L82" s="4354"/>
      <c r="M82" s="4354"/>
      <c r="N82" s="4354"/>
      <c r="O82" s="4354"/>
      <c r="P82" s="4354"/>
      <c r="Q82" s="4354"/>
      <c r="R82" s="4354"/>
      <c r="S82" s="4354"/>
      <c r="T82" s="4354"/>
      <c r="U82" s="4354"/>
      <c r="V82" s="4354"/>
      <c r="W82" s="4354"/>
      <c r="X82" s="4354"/>
      <c r="Y82" s="4354"/>
      <c r="Z82" s="4354"/>
      <c r="AA82" s="4354"/>
      <c r="AB82" s="4354"/>
      <c r="AC82" s="403">
        <f t="shared" si="10"/>
        <v>0</v>
      </c>
      <c r="AD82" s="4355"/>
      <c r="AE82" s="4355"/>
      <c r="AF82" s="4355"/>
      <c r="AG82" s="4355"/>
      <c r="AH82" s="4355"/>
      <c r="AI82" s="4355"/>
      <c r="AJ82" s="4355"/>
      <c r="AK82" s="4355"/>
      <c r="AL82" s="4355"/>
      <c r="AM82" s="4355"/>
      <c r="AN82" s="4355"/>
      <c r="AO82" s="4355"/>
      <c r="AP82" s="4355"/>
      <c r="AQ82" s="4355"/>
      <c r="AR82" s="4355"/>
      <c r="AS82" s="4355"/>
      <c r="AT82" s="4356"/>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2">
        <f t="shared" si="8"/>
        <v>0</v>
      </c>
      <c r="H83" s="4353">
        <f t="shared" si="9"/>
        <v>0</v>
      </c>
      <c r="I83" s="4354"/>
      <c r="J83" s="4354"/>
      <c r="K83" s="4354"/>
      <c r="L83" s="4354"/>
      <c r="M83" s="4354"/>
      <c r="N83" s="4354"/>
      <c r="O83" s="4354"/>
      <c r="P83" s="4354"/>
      <c r="Q83" s="4354"/>
      <c r="R83" s="4354"/>
      <c r="S83" s="4354"/>
      <c r="T83" s="4354"/>
      <c r="U83" s="4354"/>
      <c r="V83" s="4354"/>
      <c r="W83" s="4354"/>
      <c r="X83" s="4354"/>
      <c r="Y83" s="4354"/>
      <c r="Z83" s="4354"/>
      <c r="AA83" s="4354"/>
      <c r="AB83" s="4354"/>
      <c r="AC83" s="403">
        <f t="shared" si="10"/>
        <v>0</v>
      </c>
      <c r="AD83" s="4355"/>
      <c r="AE83" s="4355"/>
      <c r="AF83" s="4355"/>
      <c r="AG83" s="4355"/>
      <c r="AH83" s="4355"/>
      <c r="AI83" s="4355"/>
      <c r="AJ83" s="4355"/>
      <c r="AK83" s="4355"/>
      <c r="AL83" s="4355"/>
      <c r="AM83" s="4355"/>
      <c r="AN83" s="4355"/>
      <c r="AO83" s="4355"/>
      <c r="AP83" s="4355"/>
      <c r="AQ83" s="4355"/>
      <c r="AR83" s="4355"/>
      <c r="AS83" s="4355"/>
      <c r="AT83" s="4356"/>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2">
        <f t="shared" si="8"/>
        <v>0</v>
      </c>
      <c r="H84" s="4353">
        <f t="shared" si="9"/>
        <v>0</v>
      </c>
      <c r="I84" s="4354"/>
      <c r="J84" s="4354"/>
      <c r="K84" s="4354"/>
      <c r="L84" s="4354"/>
      <c r="M84" s="4354"/>
      <c r="N84" s="4354"/>
      <c r="O84" s="4354"/>
      <c r="P84" s="4354"/>
      <c r="Q84" s="4354"/>
      <c r="R84" s="4354"/>
      <c r="S84" s="4354"/>
      <c r="T84" s="4354"/>
      <c r="U84" s="4354"/>
      <c r="V84" s="4354"/>
      <c r="W84" s="4354"/>
      <c r="X84" s="4354"/>
      <c r="Y84" s="4354"/>
      <c r="Z84" s="4354"/>
      <c r="AA84" s="4354"/>
      <c r="AB84" s="4354"/>
      <c r="AC84" s="403">
        <f t="shared" si="10"/>
        <v>0</v>
      </c>
      <c r="AD84" s="4355"/>
      <c r="AE84" s="4355"/>
      <c r="AF84" s="4355"/>
      <c r="AG84" s="4355"/>
      <c r="AH84" s="4355"/>
      <c r="AI84" s="4355"/>
      <c r="AJ84" s="4355"/>
      <c r="AK84" s="4355"/>
      <c r="AL84" s="4355"/>
      <c r="AM84" s="4355"/>
      <c r="AN84" s="4355"/>
      <c r="AO84" s="4355"/>
      <c r="AP84" s="4355"/>
      <c r="AQ84" s="4355"/>
      <c r="AR84" s="4355"/>
      <c r="AS84" s="4355"/>
      <c r="AT84" s="4356"/>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2">
        <f t="shared" si="8"/>
        <v>0</v>
      </c>
      <c r="H85" s="4353">
        <f t="shared" si="9"/>
        <v>0</v>
      </c>
      <c r="I85" s="4354"/>
      <c r="J85" s="4354"/>
      <c r="K85" s="4354"/>
      <c r="L85" s="4354"/>
      <c r="M85" s="4354"/>
      <c r="N85" s="4354"/>
      <c r="O85" s="4354"/>
      <c r="P85" s="4354"/>
      <c r="Q85" s="4354"/>
      <c r="R85" s="4354"/>
      <c r="S85" s="4354"/>
      <c r="T85" s="4354"/>
      <c r="U85" s="4354"/>
      <c r="V85" s="4354"/>
      <c r="W85" s="4354"/>
      <c r="X85" s="4354"/>
      <c r="Y85" s="4354"/>
      <c r="Z85" s="4354"/>
      <c r="AA85" s="4354"/>
      <c r="AB85" s="4354"/>
      <c r="AC85" s="403">
        <f t="shared" si="10"/>
        <v>0</v>
      </c>
      <c r="AD85" s="4355"/>
      <c r="AE85" s="4355"/>
      <c r="AF85" s="4355"/>
      <c r="AG85" s="4355"/>
      <c r="AH85" s="4355"/>
      <c r="AI85" s="4355"/>
      <c r="AJ85" s="4355"/>
      <c r="AK85" s="4355"/>
      <c r="AL85" s="4355"/>
      <c r="AM85" s="4355"/>
      <c r="AN85" s="4355"/>
      <c r="AO85" s="4355"/>
      <c r="AP85" s="4355"/>
      <c r="AQ85" s="4355"/>
      <c r="AR85" s="4355"/>
      <c r="AS85" s="4355"/>
      <c r="AT85" s="4356"/>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2">
        <f t="shared" si="8"/>
        <v>0</v>
      </c>
      <c r="H86" s="4353">
        <f t="shared" si="9"/>
        <v>0</v>
      </c>
      <c r="I86" s="4354"/>
      <c r="J86" s="4354"/>
      <c r="K86" s="4354"/>
      <c r="L86" s="4354"/>
      <c r="M86" s="4354"/>
      <c r="N86" s="4354"/>
      <c r="O86" s="4354"/>
      <c r="P86" s="4354"/>
      <c r="Q86" s="4354"/>
      <c r="R86" s="4354"/>
      <c r="S86" s="4354"/>
      <c r="T86" s="4354"/>
      <c r="U86" s="4354"/>
      <c r="V86" s="4354"/>
      <c r="W86" s="4354"/>
      <c r="X86" s="4354"/>
      <c r="Y86" s="4354"/>
      <c r="Z86" s="4354"/>
      <c r="AA86" s="4354"/>
      <c r="AB86" s="4354"/>
      <c r="AC86" s="403">
        <f t="shared" si="10"/>
        <v>0</v>
      </c>
      <c r="AD86" s="4355"/>
      <c r="AE86" s="4355"/>
      <c r="AF86" s="4355"/>
      <c r="AG86" s="4355"/>
      <c r="AH86" s="4355"/>
      <c r="AI86" s="4355"/>
      <c r="AJ86" s="4355"/>
      <c r="AK86" s="4355"/>
      <c r="AL86" s="4355"/>
      <c r="AM86" s="4355"/>
      <c r="AN86" s="4355"/>
      <c r="AO86" s="4355"/>
      <c r="AP86" s="4355"/>
      <c r="AQ86" s="4355"/>
      <c r="AR86" s="4355"/>
      <c r="AS86" s="4355"/>
      <c r="AT86" s="4356"/>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2">
        <f t="shared" si="8"/>
        <v>0</v>
      </c>
      <c r="H87" s="4353">
        <f t="shared" si="9"/>
        <v>0</v>
      </c>
      <c r="I87" s="4354"/>
      <c r="J87" s="4354"/>
      <c r="K87" s="4354"/>
      <c r="L87" s="4354"/>
      <c r="M87" s="4354"/>
      <c r="N87" s="4354"/>
      <c r="O87" s="4354"/>
      <c r="P87" s="4354"/>
      <c r="Q87" s="4354"/>
      <c r="R87" s="4354"/>
      <c r="S87" s="4354"/>
      <c r="T87" s="4354"/>
      <c r="U87" s="4354"/>
      <c r="V87" s="4354"/>
      <c r="W87" s="4354"/>
      <c r="X87" s="4354"/>
      <c r="Y87" s="4354"/>
      <c r="Z87" s="4354"/>
      <c r="AA87" s="4354"/>
      <c r="AB87" s="4354"/>
      <c r="AC87" s="403">
        <f t="shared" si="10"/>
        <v>0</v>
      </c>
      <c r="AD87" s="4355"/>
      <c r="AE87" s="4355"/>
      <c r="AF87" s="4355"/>
      <c r="AG87" s="4355"/>
      <c r="AH87" s="4355"/>
      <c r="AI87" s="4355"/>
      <c r="AJ87" s="4355"/>
      <c r="AK87" s="4355"/>
      <c r="AL87" s="4355"/>
      <c r="AM87" s="4355"/>
      <c r="AN87" s="4355"/>
      <c r="AO87" s="4355"/>
      <c r="AP87" s="4355"/>
      <c r="AQ87" s="4355"/>
      <c r="AR87" s="4355"/>
      <c r="AS87" s="4355"/>
      <c r="AT87" s="4356"/>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2">
        <f t="shared" si="8"/>
        <v>0</v>
      </c>
      <c r="H88" s="4353">
        <f t="shared" si="9"/>
        <v>0</v>
      </c>
      <c r="I88" s="4354"/>
      <c r="J88" s="4354"/>
      <c r="K88" s="4354"/>
      <c r="L88" s="4354"/>
      <c r="M88" s="4354"/>
      <c r="N88" s="4354"/>
      <c r="O88" s="4354"/>
      <c r="P88" s="4354"/>
      <c r="Q88" s="4354"/>
      <c r="R88" s="4354"/>
      <c r="S88" s="4354"/>
      <c r="T88" s="4354"/>
      <c r="U88" s="4354"/>
      <c r="V88" s="4354"/>
      <c r="W88" s="4354"/>
      <c r="X88" s="4354"/>
      <c r="Y88" s="4354"/>
      <c r="Z88" s="4354"/>
      <c r="AA88" s="4354"/>
      <c r="AB88" s="4354"/>
      <c r="AC88" s="403">
        <f t="shared" si="10"/>
        <v>0</v>
      </c>
      <c r="AD88" s="4355"/>
      <c r="AE88" s="4355"/>
      <c r="AF88" s="4355"/>
      <c r="AG88" s="4355"/>
      <c r="AH88" s="4355"/>
      <c r="AI88" s="4355"/>
      <c r="AJ88" s="4355"/>
      <c r="AK88" s="4355"/>
      <c r="AL88" s="4355"/>
      <c r="AM88" s="4355"/>
      <c r="AN88" s="4355"/>
      <c r="AO88" s="4355"/>
      <c r="AP88" s="4355"/>
      <c r="AQ88" s="4355"/>
      <c r="AR88" s="4355"/>
      <c r="AS88" s="4355"/>
      <c r="AT88" s="4356"/>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2">
        <f t="shared" si="8"/>
        <v>0</v>
      </c>
      <c r="H89" s="4353">
        <f t="shared" si="9"/>
        <v>0</v>
      </c>
      <c r="I89" s="4354"/>
      <c r="J89" s="4354"/>
      <c r="K89" s="4354"/>
      <c r="L89" s="4354"/>
      <c r="M89" s="4354"/>
      <c r="N89" s="4354"/>
      <c r="O89" s="4354"/>
      <c r="P89" s="4354"/>
      <c r="Q89" s="4354"/>
      <c r="R89" s="4354"/>
      <c r="S89" s="4354"/>
      <c r="T89" s="4354"/>
      <c r="U89" s="4354"/>
      <c r="V89" s="4354"/>
      <c r="W89" s="4354"/>
      <c r="X89" s="4354"/>
      <c r="Y89" s="4354"/>
      <c r="Z89" s="4354"/>
      <c r="AA89" s="4354"/>
      <c r="AB89" s="4354"/>
      <c r="AC89" s="403">
        <f t="shared" si="10"/>
        <v>0</v>
      </c>
      <c r="AD89" s="4355"/>
      <c r="AE89" s="4355"/>
      <c r="AF89" s="4355"/>
      <c r="AG89" s="4355"/>
      <c r="AH89" s="4355"/>
      <c r="AI89" s="4355"/>
      <c r="AJ89" s="4355"/>
      <c r="AK89" s="4355"/>
      <c r="AL89" s="4355"/>
      <c r="AM89" s="4355"/>
      <c r="AN89" s="4355"/>
      <c r="AO89" s="4355"/>
      <c r="AP89" s="4355"/>
      <c r="AQ89" s="4355"/>
      <c r="AR89" s="4355"/>
      <c r="AS89" s="4355"/>
      <c r="AT89" s="4356"/>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2">
        <f t="shared" si="8"/>
        <v>0</v>
      </c>
      <c r="H90" s="4353">
        <f t="shared" si="9"/>
        <v>0</v>
      </c>
      <c r="I90" s="4354"/>
      <c r="J90" s="4354"/>
      <c r="K90" s="4354"/>
      <c r="L90" s="4354"/>
      <c r="M90" s="4354"/>
      <c r="N90" s="4354"/>
      <c r="O90" s="4354"/>
      <c r="P90" s="4354"/>
      <c r="Q90" s="4354"/>
      <c r="R90" s="4354"/>
      <c r="S90" s="4354"/>
      <c r="T90" s="4354"/>
      <c r="U90" s="4354"/>
      <c r="V90" s="4354"/>
      <c r="W90" s="4354"/>
      <c r="X90" s="4354"/>
      <c r="Y90" s="4354"/>
      <c r="Z90" s="4354"/>
      <c r="AA90" s="4354"/>
      <c r="AB90" s="4354"/>
      <c r="AC90" s="403">
        <f t="shared" si="10"/>
        <v>0</v>
      </c>
      <c r="AD90" s="4355"/>
      <c r="AE90" s="4355"/>
      <c r="AF90" s="4355"/>
      <c r="AG90" s="4355"/>
      <c r="AH90" s="4355"/>
      <c r="AI90" s="4355"/>
      <c r="AJ90" s="4355"/>
      <c r="AK90" s="4355"/>
      <c r="AL90" s="4355"/>
      <c r="AM90" s="4355"/>
      <c r="AN90" s="4355"/>
      <c r="AO90" s="4355"/>
      <c r="AP90" s="4355"/>
      <c r="AQ90" s="4355"/>
      <c r="AR90" s="4355"/>
      <c r="AS90" s="4355"/>
      <c r="AT90" s="4356"/>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2">
        <f t="shared" si="8"/>
        <v>0</v>
      </c>
      <c r="H91" s="4353">
        <f t="shared" si="9"/>
        <v>0</v>
      </c>
      <c r="I91" s="4354"/>
      <c r="J91" s="4354"/>
      <c r="K91" s="4354"/>
      <c r="L91" s="4354"/>
      <c r="M91" s="4354"/>
      <c r="N91" s="4354"/>
      <c r="O91" s="4354"/>
      <c r="P91" s="4354"/>
      <c r="Q91" s="4354"/>
      <c r="R91" s="4354"/>
      <c r="S91" s="4354"/>
      <c r="T91" s="4354"/>
      <c r="U91" s="4354"/>
      <c r="V91" s="4354"/>
      <c r="W91" s="4354"/>
      <c r="X91" s="4354"/>
      <c r="Y91" s="4354"/>
      <c r="Z91" s="4354"/>
      <c r="AA91" s="4354"/>
      <c r="AB91" s="4354"/>
      <c r="AC91" s="403">
        <f t="shared" si="10"/>
        <v>0</v>
      </c>
      <c r="AD91" s="4355"/>
      <c r="AE91" s="4355"/>
      <c r="AF91" s="4355"/>
      <c r="AG91" s="4355"/>
      <c r="AH91" s="4355"/>
      <c r="AI91" s="4355"/>
      <c r="AJ91" s="4355"/>
      <c r="AK91" s="4355"/>
      <c r="AL91" s="4355"/>
      <c r="AM91" s="4355"/>
      <c r="AN91" s="4355"/>
      <c r="AO91" s="4355"/>
      <c r="AP91" s="4355"/>
      <c r="AQ91" s="4355"/>
      <c r="AR91" s="4355"/>
      <c r="AS91" s="4355"/>
      <c r="AT91" s="4356"/>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2">
        <f t="shared" si="8"/>
        <v>0</v>
      </c>
      <c r="H92" s="4353">
        <f t="shared" si="9"/>
        <v>0</v>
      </c>
      <c r="I92" s="4354"/>
      <c r="J92" s="4354"/>
      <c r="K92" s="4354"/>
      <c r="L92" s="4354"/>
      <c r="M92" s="4354"/>
      <c r="N92" s="4354"/>
      <c r="O92" s="4354"/>
      <c r="P92" s="4354"/>
      <c r="Q92" s="4354"/>
      <c r="R92" s="4354"/>
      <c r="S92" s="4354"/>
      <c r="T92" s="4354"/>
      <c r="U92" s="4354"/>
      <c r="V92" s="4354"/>
      <c r="W92" s="4354"/>
      <c r="X92" s="4354"/>
      <c r="Y92" s="4354"/>
      <c r="Z92" s="4354"/>
      <c r="AA92" s="4354"/>
      <c r="AB92" s="4354"/>
      <c r="AC92" s="403">
        <f t="shared" si="10"/>
        <v>0</v>
      </c>
      <c r="AD92" s="4355"/>
      <c r="AE92" s="4355"/>
      <c r="AF92" s="4355"/>
      <c r="AG92" s="4355"/>
      <c r="AH92" s="4355"/>
      <c r="AI92" s="4355"/>
      <c r="AJ92" s="4355"/>
      <c r="AK92" s="4355"/>
      <c r="AL92" s="4355"/>
      <c r="AM92" s="4355"/>
      <c r="AN92" s="4355"/>
      <c r="AO92" s="4355"/>
      <c r="AP92" s="4355"/>
      <c r="AQ92" s="4355"/>
      <c r="AR92" s="4355"/>
      <c r="AS92" s="4355"/>
      <c r="AT92" s="4356"/>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2">
        <f t="shared" si="8"/>
        <v>0</v>
      </c>
      <c r="H93" s="4353">
        <f t="shared" si="9"/>
        <v>0</v>
      </c>
      <c r="I93" s="4354"/>
      <c r="J93" s="4354"/>
      <c r="K93" s="4354"/>
      <c r="L93" s="4354"/>
      <c r="M93" s="4354"/>
      <c r="N93" s="4354"/>
      <c r="O93" s="4354"/>
      <c r="P93" s="4354"/>
      <c r="Q93" s="4354"/>
      <c r="R93" s="4354"/>
      <c r="S93" s="4354"/>
      <c r="T93" s="4354"/>
      <c r="U93" s="4354"/>
      <c r="V93" s="4354"/>
      <c r="W93" s="4354"/>
      <c r="X93" s="4354"/>
      <c r="Y93" s="4354"/>
      <c r="Z93" s="4354"/>
      <c r="AA93" s="4354"/>
      <c r="AB93" s="4354"/>
      <c r="AC93" s="403">
        <f t="shared" si="10"/>
        <v>0</v>
      </c>
      <c r="AD93" s="4355"/>
      <c r="AE93" s="4355"/>
      <c r="AF93" s="4355"/>
      <c r="AG93" s="4355"/>
      <c r="AH93" s="4355"/>
      <c r="AI93" s="4355"/>
      <c r="AJ93" s="4355"/>
      <c r="AK93" s="4355"/>
      <c r="AL93" s="4355"/>
      <c r="AM93" s="4355"/>
      <c r="AN93" s="4355"/>
      <c r="AO93" s="4355"/>
      <c r="AP93" s="4355"/>
      <c r="AQ93" s="4355"/>
      <c r="AR93" s="4355"/>
      <c r="AS93" s="4355"/>
      <c r="AT93" s="4356"/>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2">
        <f t="shared" si="8"/>
        <v>0</v>
      </c>
      <c r="H94" s="4353">
        <f t="shared" si="9"/>
        <v>0</v>
      </c>
      <c r="I94" s="4354"/>
      <c r="J94" s="4354"/>
      <c r="K94" s="4354"/>
      <c r="L94" s="4354"/>
      <c r="M94" s="4354"/>
      <c r="N94" s="4354"/>
      <c r="O94" s="4354"/>
      <c r="P94" s="4354"/>
      <c r="Q94" s="4354"/>
      <c r="R94" s="4354"/>
      <c r="S94" s="4354"/>
      <c r="T94" s="4354"/>
      <c r="U94" s="4354"/>
      <c r="V94" s="4354"/>
      <c r="W94" s="4354"/>
      <c r="X94" s="4354"/>
      <c r="Y94" s="4354"/>
      <c r="Z94" s="4354"/>
      <c r="AA94" s="4354"/>
      <c r="AB94" s="4354"/>
      <c r="AC94" s="403">
        <f t="shared" si="10"/>
        <v>0</v>
      </c>
      <c r="AD94" s="4355"/>
      <c r="AE94" s="4355"/>
      <c r="AF94" s="4355"/>
      <c r="AG94" s="4355"/>
      <c r="AH94" s="4355"/>
      <c r="AI94" s="4355"/>
      <c r="AJ94" s="4355"/>
      <c r="AK94" s="4355"/>
      <c r="AL94" s="4355"/>
      <c r="AM94" s="4355"/>
      <c r="AN94" s="4355"/>
      <c r="AO94" s="4355"/>
      <c r="AP94" s="4355"/>
      <c r="AQ94" s="4355"/>
      <c r="AR94" s="4355"/>
      <c r="AS94" s="4355"/>
      <c r="AT94" s="4356"/>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2">
        <f t="shared" si="8"/>
        <v>0</v>
      </c>
      <c r="H95" s="4353">
        <f t="shared" si="9"/>
        <v>0</v>
      </c>
      <c r="I95" s="4354"/>
      <c r="J95" s="4354"/>
      <c r="K95" s="4354"/>
      <c r="L95" s="4354"/>
      <c r="M95" s="4354"/>
      <c r="N95" s="4354"/>
      <c r="O95" s="4354"/>
      <c r="P95" s="4354"/>
      <c r="Q95" s="4354"/>
      <c r="R95" s="4354"/>
      <c r="S95" s="4354"/>
      <c r="T95" s="4354"/>
      <c r="U95" s="4354"/>
      <c r="V95" s="4354"/>
      <c r="W95" s="4354"/>
      <c r="X95" s="4354"/>
      <c r="Y95" s="4354"/>
      <c r="Z95" s="4354"/>
      <c r="AA95" s="4354"/>
      <c r="AB95" s="4354"/>
      <c r="AC95" s="403">
        <f t="shared" si="10"/>
        <v>0</v>
      </c>
      <c r="AD95" s="4355"/>
      <c r="AE95" s="4355"/>
      <c r="AF95" s="4355"/>
      <c r="AG95" s="4355"/>
      <c r="AH95" s="4355"/>
      <c r="AI95" s="4355"/>
      <c r="AJ95" s="4355"/>
      <c r="AK95" s="4355"/>
      <c r="AL95" s="4355"/>
      <c r="AM95" s="4355"/>
      <c r="AN95" s="4355"/>
      <c r="AO95" s="4355"/>
      <c r="AP95" s="4355"/>
      <c r="AQ95" s="4355"/>
      <c r="AR95" s="4355"/>
      <c r="AS95" s="4355"/>
      <c r="AT95" s="4356"/>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2">
        <f t="shared" si="8"/>
        <v>0</v>
      </c>
      <c r="H96" s="4353">
        <f t="shared" si="9"/>
        <v>0</v>
      </c>
      <c r="I96" s="4354"/>
      <c r="J96" s="4354"/>
      <c r="K96" s="4354"/>
      <c r="L96" s="4354"/>
      <c r="M96" s="4354"/>
      <c r="N96" s="4354"/>
      <c r="O96" s="4354"/>
      <c r="P96" s="4354"/>
      <c r="Q96" s="4354"/>
      <c r="R96" s="4354"/>
      <c r="S96" s="4354"/>
      <c r="T96" s="4354"/>
      <c r="U96" s="4354"/>
      <c r="V96" s="4354"/>
      <c r="W96" s="4354"/>
      <c r="X96" s="4354"/>
      <c r="Y96" s="4354"/>
      <c r="Z96" s="4354"/>
      <c r="AA96" s="4354"/>
      <c r="AB96" s="4354"/>
      <c r="AC96" s="403">
        <f t="shared" si="10"/>
        <v>0</v>
      </c>
      <c r="AD96" s="4355"/>
      <c r="AE96" s="4355"/>
      <c r="AF96" s="4355"/>
      <c r="AG96" s="4355"/>
      <c r="AH96" s="4355"/>
      <c r="AI96" s="4355"/>
      <c r="AJ96" s="4355"/>
      <c r="AK96" s="4355"/>
      <c r="AL96" s="4355"/>
      <c r="AM96" s="4355"/>
      <c r="AN96" s="4355"/>
      <c r="AO96" s="4355"/>
      <c r="AP96" s="4355"/>
      <c r="AQ96" s="4355"/>
      <c r="AR96" s="4355"/>
      <c r="AS96" s="4355"/>
      <c r="AT96" s="4356"/>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2">
        <f t="shared" si="8"/>
        <v>0</v>
      </c>
      <c r="H97" s="4353">
        <f t="shared" si="9"/>
        <v>0</v>
      </c>
      <c r="I97" s="4354"/>
      <c r="J97" s="4354"/>
      <c r="K97" s="4354"/>
      <c r="L97" s="4354"/>
      <c r="M97" s="4354"/>
      <c r="N97" s="4354"/>
      <c r="O97" s="4354"/>
      <c r="P97" s="4354"/>
      <c r="Q97" s="4354"/>
      <c r="R97" s="4354"/>
      <c r="S97" s="4354"/>
      <c r="T97" s="4354"/>
      <c r="U97" s="4354"/>
      <c r="V97" s="4354"/>
      <c r="W97" s="4354"/>
      <c r="X97" s="4354"/>
      <c r="Y97" s="4354"/>
      <c r="Z97" s="4354"/>
      <c r="AA97" s="4354"/>
      <c r="AB97" s="4354"/>
      <c r="AC97" s="403">
        <f t="shared" si="10"/>
        <v>0</v>
      </c>
      <c r="AD97" s="4355"/>
      <c r="AE97" s="4355"/>
      <c r="AF97" s="4355"/>
      <c r="AG97" s="4355"/>
      <c r="AH97" s="4355"/>
      <c r="AI97" s="4355"/>
      <c r="AJ97" s="4355"/>
      <c r="AK97" s="4355"/>
      <c r="AL97" s="4355"/>
      <c r="AM97" s="4355"/>
      <c r="AN97" s="4355"/>
      <c r="AO97" s="4355"/>
      <c r="AP97" s="4355"/>
      <c r="AQ97" s="4355"/>
      <c r="AR97" s="4355"/>
      <c r="AS97" s="4355"/>
      <c r="AT97" s="4356"/>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2">
        <f t="shared" si="8"/>
        <v>0</v>
      </c>
      <c r="H98" s="4353">
        <f t="shared" si="9"/>
        <v>0</v>
      </c>
      <c r="I98" s="4354"/>
      <c r="J98" s="4354"/>
      <c r="K98" s="4354"/>
      <c r="L98" s="4354"/>
      <c r="M98" s="4354"/>
      <c r="N98" s="4354"/>
      <c r="O98" s="4354"/>
      <c r="P98" s="4354"/>
      <c r="Q98" s="4354"/>
      <c r="R98" s="4354"/>
      <c r="S98" s="4354"/>
      <c r="T98" s="4354"/>
      <c r="U98" s="4354"/>
      <c r="V98" s="4354"/>
      <c r="W98" s="4354"/>
      <c r="X98" s="4354"/>
      <c r="Y98" s="4354"/>
      <c r="Z98" s="4354"/>
      <c r="AA98" s="4354"/>
      <c r="AB98" s="4354"/>
      <c r="AC98" s="403">
        <f t="shared" si="10"/>
        <v>0</v>
      </c>
      <c r="AD98" s="4355"/>
      <c r="AE98" s="4355"/>
      <c r="AF98" s="4355"/>
      <c r="AG98" s="4355"/>
      <c r="AH98" s="4355"/>
      <c r="AI98" s="4355"/>
      <c r="AJ98" s="4355"/>
      <c r="AK98" s="4355"/>
      <c r="AL98" s="4355"/>
      <c r="AM98" s="4355"/>
      <c r="AN98" s="4355"/>
      <c r="AO98" s="4355"/>
      <c r="AP98" s="4355"/>
      <c r="AQ98" s="4355"/>
      <c r="AR98" s="4355"/>
      <c r="AS98" s="4355"/>
      <c r="AT98" s="4356"/>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2">
        <f t="shared" si="8"/>
        <v>0</v>
      </c>
      <c r="H99" s="4353">
        <f t="shared" si="9"/>
        <v>0</v>
      </c>
      <c r="I99" s="4354"/>
      <c r="J99" s="4354"/>
      <c r="K99" s="4354"/>
      <c r="L99" s="4354"/>
      <c r="M99" s="4354"/>
      <c r="N99" s="4354"/>
      <c r="O99" s="4354"/>
      <c r="P99" s="4354"/>
      <c r="Q99" s="4354"/>
      <c r="R99" s="4354"/>
      <c r="S99" s="4354"/>
      <c r="T99" s="4354"/>
      <c r="U99" s="4354"/>
      <c r="V99" s="4354"/>
      <c r="W99" s="4354"/>
      <c r="X99" s="4354"/>
      <c r="Y99" s="4354"/>
      <c r="Z99" s="4354"/>
      <c r="AA99" s="4354"/>
      <c r="AB99" s="4354"/>
      <c r="AC99" s="403">
        <f t="shared" si="10"/>
        <v>0</v>
      </c>
      <c r="AD99" s="4355"/>
      <c r="AE99" s="4355"/>
      <c r="AF99" s="4355"/>
      <c r="AG99" s="4355"/>
      <c r="AH99" s="4355"/>
      <c r="AI99" s="4355"/>
      <c r="AJ99" s="4355"/>
      <c r="AK99" s="4355"/>
      <c r="AL99" s="4355"/>
      <c r="AM99" s="4355"/>
      <c r="AN99" s="4355"/>
      <c r="AO99" s="4355"/>
      <c r="AP99" s="4355"/>
      <c r="AQ99" s="4355"/>
      <c r="AR99" s="4355"/>
      <c r="AS99" s="4355"/>
      <c r="AT99" s="4356"/>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2">
        <f t="shared" si="8"/>
        <v>0</v>
      </c>
      <c r="H100" s="4353">
        <f t="shared" si="9"/>
        <v>0</v>
      </c>
      <c r="I100" s="4354"/>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03">
        <f t="shared" si="10"/>
        <v>0</v>
      </c>
      <c r="AD100" s="4355"/>
      <c r="AE100" s="4355"/>
      <c r="AF100" s="4355"/>
      <c r="AG100" s="4355"/>
      <c r="AH100" s="4355"/>
      <c r="AI100" s="4355"/>
      <c r="AJ100" s="4355"/>
      <c r="AK100" s="4355"/>
      <c r="AL100" s="4355"/>
      <c r="AM100" s="4355"/>
      <c r="AN100" s="4355"/>
      <c r="AO100" s="4355"/>
      <c r="AP100" s="4355"/>
      <c r="AQ100" s="4355"/>
      <c r="AR100" s="4355"/>
      <c r="AS100" s="4355"/>
      <c r="AT100" s="4356"/>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2">
        <f t="shared" si="8"/>
        <v>0</v>
      </c>
      <c r="H101" s="4353">
        <f t="shared" si="9"/>
        <v>0</v>
      </c>
      <c r="I101" s="4354"/>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03">
        <f t="shared" si="10"/>
        <v>0</v>
      </c>
      <c r="AD101" s="4355"/>
      <c r="AE101" s="4355"/>
      <c r="AF101" s="4355"/>
      <c r="AG101" s="4355"/>
      <c r="AH101" s="4355"/>
      <c r="AI101" s="4355"/>
      <c r="AJ101" s="4355"/>
      <c r="AK101" s="4355"/>
      <c r="AL101" s="4355"/>
      <c r="AM101" s="4355"/>
      <c r="AN101" s="4355"/>
      <c r="AO101" s="4355"/>
      <c r="AP101" s="4355"/>
      <c r="AQ101" s="4355"/>
      <c r="AR101" s="4355"/>
      <c r="AS101" s="4355"/>
      <c r="AT101" s="4356"/>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2">
        <f t="shared" si="8"/>
        <v>0</v>
      </c>
      <c r="H102" s="4353">
        <f t="shared" si="9"/>
        <v>0</v>
      </c>
      <c r="I102" s="4354"/>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03">
        <f t="shared" si="10"/>
        <v>0</v>
      </c>
      <c r="AD102" s="4355"/>
      <c r="AE102" s="4355"/>
      <c r="AF102" s="4355"/>
      <c r="AG102" s="4355"/>
      <c r="AH102" s="4355"/>
      <c r="AI102" s="4355"/>
      <c r="AJ102" s="4355"/>
      <c r="AK102" s="4355"/>
      <c r="AL102" s="4355"/>
      <c r="AM102" s="4355"/>
      <c r="AN102" s="4355"/>
      <c r="AO102" s="4355"/>
      <c r="AP102" s="4355"/>
      <c r="AQ102" s="4355"/>
      <c r="AR102" s="4355"/>
      <c r="AS102" s="4355"/>
      <c r="AT102" s="4356"/>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2">
        <f t="shared" si="8"/>
        <v>0</v>
      </c>
      <c r="H103" s="4353">
        <f t="shared" si="9"/>
        <v>0</v>
      </c>
      <c r="I103" s="4354"/>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03">
        <f t="shared" si="10"/>
        <v>0</v>
      </c>
      <c r="AD103" s="4355"/>
      <c r="AE103" s="4355"/>
      <c r="AF103" s="4355"/>
      <c r="AG103" s="4355"/>
      <c r="AH103" s="4355"/>
      <c r="AI103" s="4355"/>
      <c r="AJ103" s="4355"/>
      <c r="AK103" s="4355"/>
      <c r="AL103" s="4355"/>
      <c r="AM103" s="4355"/>
      <c r="AN103" s="4355"/>
      <c r="AO103" s="4355"/>
      <c r="AP103" s="4355"/>
      <c r="AQ103" s="4355"/>
      <c r="AR103" s="4355"/>
      <c r="AS103" s="4355"/>
      <c r="AT103" s="4356"/>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2">
        <f t="shared" si="8"/>
        <v>0</v>
      </c>
      <c r="H104" s="4353">
        <f t="shared" si="9"/>
        <v>0</v>
      </c>
      <c r="I104" s="4354"/>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03">
        <f t="shared" si="10"/>
        <v>0</v>
      </c>
      <c r="AD104" s="4355"/>
      <c r="AE104" s="4355"/>
      <c r="AF104" s="4355"/>
      <c r="AG104" s="4355"/>
      <c r="AH104" s="4355"/>
      <c r="AI104" s="4355"/>
      <c r="AJ104" s="4355"/>
      <c r="AK104" s="4355"/>
      <c r="AL104" s="4355"/>
      <c r="AM104" s="4355"/>
      <c r="AN104" s="4355"/>
      <c r="AO104" s="4355"/>
      <c r="AP104" s="4355"/>
      <c r="AQ104" s="4355"/>
      <c r="AR104" s="4355"/>
      <c r="AS104" s="4355"/>
      <c r="AT104" s="4356"/>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2">
        <f t="shared" si="8"/>
        <v>0</v>
      </c>
      <c r="H105" s="4353">
        <f t="shared" si="9"/>
        <v>0</v>
      </c>
      <c r="I105" s="4354"/>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03">
        <f t="shared" si="10"/>
        <v>0</v>
      </c>
      <c r="AD105" s="4355"/>
      <c r="AE105" s="4355"/>
      <c r="AF105" s="4355"/>
      <c r="AG105" s="4355"/>
      <c r="AH105" s="4355"/>
      <c r="AI105" s="4355"/>
      <c r="AJ105" s="4355"/>
      <c r="AK105" s="4355"/>
      <c r="AL105" s="4355"/>
      <c r="AM105" s="4355"/>
      <c r="AN105" s="4355"/>
      <c r="AO105" s="4355"/>
      <c r="AP105" s="4355"/>
      <c r="AQ105" s="4355"/>
      <c r="AR105" s="4355"/>
      <c r="AS105" s="4355"/>
      <c r="AT105" s="4356"/>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2">
        <f t="shared" si="8"/>
        <v>0</v>
      </c>
      <c r="H106" s="4353">
        <f t="shared" si="9"/>
        <v>0</v>
      </c>
      <c r="I106" s="4354"/>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03">
        <f t="shared" si="10"/>
        <v>0</v>
      </c>
      <c r="AD106" s="4355"/>
      <c r="AE106" s="4355"/>
      <c r="AF106" s="4355"/>
      <c r="AG106" s="4355"/>
      <c r="AH106" s="4355"/>
      <c r="AI106" s="4355"/>
      <c r="AJ106" s="4355"/>
      <c r="AK106" s="4355"/>
      <c r="AL106" s="4355"/>
      <c r="AM106" s="4355"/>
      <c r="AN106" s="4355"/>
      <c r="AO106" s="4355"/>
      <c r="AP106" s="4355"/>
      <c r="AQ106" s="4355"/>
      <c r="AR106" s="4355"/>
      <c r="AS106" s="4355"/>
      <c r="AT106" s="4356"/>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2">
        <f t="shared" si="8"/>
        <v>0</v>
      </c>
      <c r="H107" s="4353">
        <f t="shared" si="9"/>
        <v>0</v>
      </c>
      <c r="I107" s="4354"/>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03">
        <f t="shared" si="10"/>
        <v>0</v>
      </c>
      <c r="AD107" s="4355"/>
      <c r="AE107" s="4355"/>
      <c r="AF107" s="4355"/>
      <c r="AG107" s="4355"/>
      <c r="AH107" s="4355"/>
      <c r="AI107" s="4355"/>
      <c r="AJ107" s="4355"/>
      <c r="AK107" s="4355"/>
      <c r="AL107" s="4355"/>
      <c r="AM107" s="4355"/>
      <c r="AN107" s="4355"/>
      <c r="AO107" s="4355"/>
      <c r="AP107" s="4355"/>
      <c r="AQ107" s="4355"/>
      <c r="AR107" s="4355"/>
      <c r="AS107" s="4355"/>
      <c r="AT107" s="4356"/>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2">
        <f t="shared" si="8"/>
        <v>0</v>
      </c>
      <c r="H108" s="4353">
        <f t="shared" si="9"/>
        <v>0</v>
      </c>
      <c r="I108" s="4354"/>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03">
        <f t="shared" si="10"/>
        <v>0</v>
      </c>
      <c r="AD108" s="4355"/>
      <c r="AE108" s="4355"/>
      <c r="AF108" s="4355"/>
      <c r="AG108" s="4355"/>
      <c r="AH108" s="4355"/>
      <c r="AI108" s="4355"/>
      <c r="AJ108" s="4355"/>
      <c r="AK108" s="4355"/>
      <c r="AL108" s="4355"/>
      <c r="AM108" s="4355"/>
      <c r="AN108" s="4355"/>
      <c r="AO108" s="4355"/>
      <c r="AP108" s="4355"/>
      <c r="AQ108" s="4355"/>
      <c r="AR108" s="4355"/>
      <c r="AS108" s="4355"/>
      <c r="AT108" s="4356"/>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2">
        <f t="shared" si="8"/>
        <v>0</v>
      </c>
      <c r="H109" s="4353">
        <f t="shared" si="9"/>
        <v>0</v>
      </c>
      <c r="I109" s="4354"/>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03">
        <f t="shared" si="10"/>
        <v>0</v>
      </c>
      <c r="AD109" s="4355"/>
      <c r="AE109" s="4355"/>
      <c r="AF109" s="4355"/>
      <c r="AG109" s="4355"/>
      <c r="AH109" s="4355"/>
      <c r="AI109" s="4355"/>
      <c r="AJ109" s="4355"/>
      <c r="AK109" s="4355"/>
      <c r="AL109" s="4355"/>
      <c r="AM109" s="4355"/>
      <c r="AN109" s="4355"/>
      <c r="AO109" s="4355"/>
      <c r="AP109" s="4355"/>
      <c r="AQ109" s="4355"/>
      <c r="AR109" s="4355"/>
      <c r="AS109" s="4355"/>
      <c r="AT109" s="4356"/>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2">
        <f t="shared" ref="G110:G141" si="36">H110+AC110+AT110</f>
        <v>0</v>
      </c>
      <c r="H110" s="4353">
        <f t="shared" ref="H110:H141" si="37">SUMIF(I$12:AB$12,"总值",I110:AB110)</f>
        <v>0</v>
      </c>
      <c r="I110" s="4354"/>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03">
        <f t="shared" ref="AC110:AC141" si="38">SUMIF(AD$12:AS$12,"总值",AD110:AS110)</f>
        <v>0</v>
      </c>
      <c r="AD110" s="4355"/>
      <c r="AE110" s="4355"/>
      <c r="AF110" s="4355"/>
      <c r="AG110" s="4355"/>
      <c r="AH110" s="4355"/>
      <c r="AI110" s="4355"/>
      <c r="AJ110" s="4355"/>
      <c r="AK110" s="4355"/>
      <c r="AL110" s="4355"/>
      <c r="AM110" s="4355"/>
      <c r="AN110" s="4355"/>
      <c r="AO110" s="4355"/>
      <c r="AP110" s="4355"/>
      <c r="AQ110" s="4355"/>
      <c r="AR110" s="4355"/>
      <c r="AS110" s="4355"/>
      <c r="AT110" s="4355"/>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2">
        <f t="shared" si="36"/>
        <v>0</v>
      </c>
      <c r="H111" s="4353">
        <f t="shared" si="37"/>
        <v>0</v>
      </c>
      <c r="I111" s="4354"/>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03">
        <f t="shared" si="38"/>
        <v>0</v>
      </c>
      <c r="AD111" s="4355"/>
      <c r="AE111" s="4355"/>
      <c r="AF111" s="4355"/>
      <c r="AG111" s="4355"/>
      <c r="AH111" s="4355"/>
      <c r="AI111" s="4355"/>
      <c r="AJ111" s="4355"/>
      <c r="AK111" s="4355"/>
      <c r="AL111" s="4355"/>
      <c r="AM111" s="4355"/>
      <c r="AN111" s="4355"/>
      <c r="AO111" s="4355"/>
      <c r="AP111" s="4355"/>
      <c r="AQ111" s="4355"/>
      <c r="AR111" s="4355"/>
      <c r="AS111" s="4355"/>
      <c r="AT111" s="4355"/>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2">
        <f t="shared" si="36"/>
        <v>0</v>
      </c>
      <c r="H112" s="4353">
        <f t="shared" si="37"/>
        <v>0</v>
      </c>
      <c r="I112" s="4354"/>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03">
        <f t="shared" si="38"/>
        <v>0</v>
      </c>
      <c r="AD112" s="4355"/>
      <c r="AE112" s="4355"/>
      <c r="AF112" s="4355"/>
      <c r="AG112" s="4355"/>
      <c r="AH112" s="4355"/>
      <c r="AI112" s="4355"/>
      <c r="AJ112" s="4355"/>
      <c r="AK112" s="4355"/>
      <c r="AL112" s="4355"/>
      <c r="AM112" s="4355"/>
      <c r="AN112" s="4355"/>
      <c r="AO112" s="4355"/>
      <c r="AP112" s="4355"/>
      <c r="AQ112" s="4355"/>
      <c r="AR112" s="4355"/>
      <c r="AS112" s="4355"/>
      <c r="AT112" s="4355"/>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2">
        <f t="shared" si="36"/>
        <v>0</v>
      </c>
      <c r="H113" s="4353">
        <f t="shared" si="37"/>
        <v>0</v>
      </c>
      <c r="I113" s="4354"/>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03">
        <f t="shared" si="38"/>
        <v>0</v>
      </c>
      <c r="AD113" s="4355"/>
      <c r="AE113" s="4355"/>
      <c r="AF113" s="4355"/>
      <c r="AG113" s="4355"/>
      <c r="AH113" s="4355"/>
      <c r="AI113" s="4355"/>
      <c r="AJ113" s="4355"/>
      <c r="AK113" s="4355"/>
      <c r="AL113" s="4355"/>
      <c r="AM113" s="4355"/>
      <c r="AN113" s="4355"/>
      <c r="AO113" s="4355"/>
      <c r="AP113" s="4355"/>
      <c r="AQ113" s="4355"/>
      <c r="AR113" s="4355"/>
      <c r="AS113" s="4355"/>
      <c r="AT113" s="4356"/>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2">
        <f t="shared" si="36"/>
        <v>0</v>
      </c>
      <c r="H114" s="4353">
        <f t="shared" si="37"/>
        <v>0</v>
      </c>
      <c r="I114" s="4354"/>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03">
        <f t="shared" si="38"/>
        <v>0</v>
      </c>
      <c r="AD114" s="4355"/>
      <c r="AE114" s="4355"/>
      <c r="AF114" s="4355"/>
      <c r="AG114" s="4355"/>
      <c r="AH114" s="4355"/>
      <c r="AI114" s="4355"/>
      <c r="AJ114" s="4355"/>
      <c r="AK114" s="4355"/>
      <c r="AL114" s="4355"/>
      <c r="AM114" s="4355"/>
      <c r="AN114" s="4355"/>
      <c r="AO114" s="4355"/>
      <c r="AP114" s="4355"/>
      <c r="AQ114" s="4355"/>
      <c r="AR114" s="4355"/>
      <c r="AS114" s="4355"/>
      <c r="AT114" s="4356"/>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2">
        <f t="shared" si="36"/>
        <v>0</v>
      </c>
      <c r="H115" s="4353">
        <f t="shared" si="37"/>
        <v>0</v>
      </c>
      <c r="I115" s="4354"/>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03">
        <f t="shared" si="38"/>
        <v>0</v>
      </c>
      <c r="AD115" s="4355"/>
      <c r="AE115" s="4355"/>
      <c r="AF115" s="4355"/>
      <c r="AG115" s="4355"/>
      <c r="AH115" s="4355"/>
      <c r="AI115" s="4355"/>
      <c r="AJ115" s="4355"/>
      <c r="AK115" s="4355"/>
      <c r="AL115" s="4355"/>
      <c r="AM115" s="4355"/>
      <c r="AN115" s="4355"/>
      <c r="AO115" s="4355"/>
      <c r="AP115" s="4355"/>
      <c r="AQ115" s="4355"/>
      <c r="AR115" s="4355"/>
      <c r="AS115" s="4355"/>
      <c r="AT115" s="4356"/>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2">
        <f t="shared" si="36"/>
        <v>0</v>
      </c>
      <c r="H116" s="4353">
        <f t="shared" si="37"/>
        <v>0</v>
      </c>
      <c r="I116" s="4354"/>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03">
        <f t="shared" si="38"/>
        <v>0</v>
      </c>
      <c r="AD116" s="4355"/>
      <c r="AE116" s="4355"/>
      <c r="AF116" s="4355"/>
      <c r="AG116" s="4355"/>
      <c r="AH116" s="4355"/>
      <c r="AI116" s="4355"/>
      <c r="AJ116" s="4355"/>
      <c r="AK116" s="4355"/>
      <c r="AL116" s="4355"/>
      <c r="AM116" s="4355"/>
      <c r="AN116" s="4355"/>
      <c r="AO116" s="4355"/>
      <c r="AP116" s="4355"/>
      <c r="AQ116" s="4355"/>
      <c r="AR116" s="4355"/>
      <c r="AS116" s="4355"/>
      <c r="AT116" s="4356"/>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2">
        <f t="shared" si="36"/>
        <v>0</v>
      </c>
      <c r="H117" s="4353">
        <f t="shared" si="37"/>
        <v>0</v>
      </c>
      <c r="I117" s="4354"/>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03">
        <f t="shared" si="38"/>
        <v>0</v>
      </c>
      <c r="AD117" s="4355"/>
      <c r="AE117" s="4355"/>
      <c r="AF117" s="4355"/>
      <c r="AG117" s="4355"/>
      <c r="AH117" s="4355"/>
      <c r="AI117" s="4355"/>
      <c r="AJ117" s="4355"/>
      <c r="AK117" s="4355"/>
      <c r="AL117" s="4355"/>
      <c r="AM117" s="4355"/>
      <c r="AN117" s="4355"/>
      <c r="AO117" s="4355"/>
      <c r="AP117" s="4355"/>
      <c r="AQ117" s="4355"/>
      <c r="AR117" s="4355"/>
      <c r="AS117" s="4355"/>
      <c r="AT117" s="4356"/>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2">
        <f t="shared" si="36"/>
        <v>0</v>
      </c>
      <c r="H118" s="4353">
        <f t="shared" si="37"/>
        <v>0</v>
      </c>
      <c r="I118" s="4354"/>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03">
        <f t="shared" si="38"/>
        <v>0</v>
      </c>
      <c r="AD118" s="4355"/>
      <c r="AE118" s="4355"/>
      <c r="AF118" s="4355"/>
      <c r="AG118" s="4355"/>
      <c r="AH118" s="4355"/>
      <c r="AI118" s="4355"/>
      <c r="AJ118" s="4355"/>
      <c r="AK118" s="4355"/>
      <c r="AL118" s="4355"/>
      <c r="AM118" s="4355"/>
      <c r="AN118" s="4355"/>
      <c r="AO118" s="4355"/>
      <c r="AP118" s="4355"/>
      <c r="AQ118" s="4355"/>
      <c r="AR118" s="4355"/>
      <c r="AS118" s="4355"/>
      <c r="AT118" s="4356"/>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2">
        <f t="shared" si="36"/>
        <v>0</v>
      </c>
      <c r="H119" s="4353">
        <f t="shared" si="37"/>
        <v>0</v>
      </c>
      <c r="I119" s="4354"/>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03">
        <f t="shared" si="38"/>
        <v>0</v>
      </c>
      <c r="AD119" s="4355"/>
      <c r="AE119" s="4355"/>
      <c r="AF119" s="4355"/>
      <c r="AG119" s="4355"/>
      <c r="AH119" s="4355"/>
      <c r="AI119" s="4355"/>
      <c r="AJ119" s="4355"/>
      <c r="AK119" s="4355"/>
      <c r="AL119" s="4355"/>
      <c r="AM119" s="4355"/>
      <c r="AN119" s="4355"/>
      <c r="AO119" s="4355"/>
      <c r="AP119" s="4355"/>
      <c r="AQ119" s="4355"/>
      <c r="AR119" s="4355"/>
      <c r="AS119" s="4355"/>
      <c r="AT119" s="4356"/>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2">
        <f t="shared" si="36"/>
        <v>0</v>
      </c>
      <c r="H120" s="4353">
        <f t="shared" si="37"/>
        <v>0</v>
      </c>
      <c r="I120" s="4354"/>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03">
        <f t="shared" si="38"/>
        <v>0</v>
      </c>
      <c r="AD120" s="4355"/>
      <c r="AE120" s="4355"/>
      <c r="AF120" s="4355"/>
      <c r="AG120" s="4355"/>
      <c r="AH120" s="4355"/>
      <c r="AI120" s="4355"/>
      <c r="AJ120" s="4355"/>
      <c r="AK120" s="4355"/>
      <c r="AL120" s="4355"/>
      <c r="AM120" s="4355"/>
      <c r="AN120" s="4355"/>
      <c r="AO120" s="4355"/>
      <c r="AP120" s="4355"/>
      <c r="AQ120" s="4355"/>
      <c r="AR120" s="4355"/>
      <c r="AS120" s="4355"/>
      <c r="AT120" s="4356"/>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2">
        <f t="shared" si="36"/>
        <v>0</v>
      </c>
      <c r="H121" s="4353">
        <f t="shared" si="37"/>
        <v>0</v>
      </c>
      <c r="I121" s="4354"/>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03">
        <f t="shared" si="38"/>
        <v>0</v>
      </c>
      <c r="AD121" s="4355"/>
      <c r="AE121" s="4355"/>
      <c r="AF121" s="4355"/>
      <c r="AG121" s="4355"/>
      <c r="AH121" s="4355"/>
      <c r="AI121" s="4355"/>
      <c r="AJ121" s="4355"/>
      <c r="AK121" s="4355"/>
      <c r="AL121" s="4355"/>
      <c r="AM121" s="4355"/>
      <c r="AN121" s="4355"/>
      <c r="AO121" s="4355"/>
      <c r="AP121" s="4355"/>
      <c r="AQ121" s="4355"/>
      <c r="AR121" s="4355"/>
      <c r="AS121" s="4355"/>
      <c r="AT121" s="4356"/>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2">
        <f t="shared" si="36"/>
        <v>0</v>
      </c>
      <c r="H122" s="4353">
        <f t="shared" si="37"/>
        <v>0</v>
      </c>
      <c r="I122" s="4354"/>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03">
        <f t="shared" si="38"/>
        <v>0</v>
      </c>
      <c r="AD122" s="4355"/>
      <c r="AE122" s="4355"/>
      <c r="AF122" s="4355"/>
      <c r="AG122" s="4355"/>
      <c r="AH122" s="4355"/>
      <c r="AI122" s="4355"/>
      <c r="AJ122" s="4355"/>
      <c r="AK122" s="4355"/>
      <c r="AL122" s="4355"/>
      <c r="AM122" s="4355"/>
      <c r="AN122" s="4355"/>
      <c r="AO122" s="4355"/>
      <c r="AP122" s="4355"/>
      <c r="AQ122" s="4355"/>
      <c r="AR122" s="4355"/>
      <c r="AS122" s="4355"/>
      <c r="AT122" s="4356"/>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2">
        <f t="shared" si="36"/>
        <v>0</v>
      </c>
      <c r="H123" s="4353">
        <f t="shared" si="37"/>
        <v>0</v>
      </c>
      <c r="I123" s="4354"/>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03">
        <f t="shared" si="38"/>
        <v>0</v>
      </c>
      <c r="AD123" s="4355"/>
      <c r="AE123" s="4355"/>
      <c r="AF123" s="4355"/>
      <c r="AG123" s="4355"/>
      <c r="AH123" s="4355"/>
      <c r="AI123" s="4355"/>
      <c r="AJ123" s="4355"/>
      <c r="AK123" s="4355"/>
      <c r="AL123" s="4355"/>
      <c r="AM123" s="4355"/>
      <c r="AN123" s="4355"/>
      <c r="AO123" s="4355"/>
      <c r="AP123" s="4355"/>
      <c r="AQ123" s="4355"/>
      <c r="AR123" s="4355"/>
      <c r="AS123" s="4355"/>
      <c r="AT123" s="4356"/>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2">
        <f t="shared" si="36"/>
        <v>0</v>
      </c>
      <c r="H124" s="4353">
        <f t="shared" si="37"/>
        <v>0</v>
      </c>
      <c r="I124" s="4354"/>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03">
        <f t="shared" si="38"/>
        <v>0</v>
      </c>
      <c r="AD124" s="4355"/>
      <c r="AE124" s="4355"/>
      <c r="AF124" s="4355"/>
      <c r="AG124" s="4355"/>
      <c r="AH124" s="4355"/>
      <c r="AI124" s="4355"/>
      <c r="AJ124" s="4355"/>
      <c r="AK124" s="4355"/>
      <c r="AL124" s="4355"/>
      <c r="AM124" s="4355"/>
      <c r="AN124" s="4355"/>
      <c r="AO124" s="4355"/>
      <c r="AP124" s="4355"/>
      <c r="AQ124" s="4355"/>
      <c r="AR124" s="4355"/>
      <c r="AS124" s="4355"/>
      <c r="AT124" s="4356"/>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2">
        <f t="shared" si="36"/>
        <v>0</v>
      </c>
      <c r="H125" s="4353">
        <f t="shared" si="37"/>
        <v>0</v>
      </c>
      <c r="I125" s="4354"/>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03">
        <f t="shared" si="38"/>
        <v>0</v>
      </c>
      <c r="AD125" s="4355"/>
      <c r="AE125" s="4355"/>
      <c r="AF125" s="4355"/>
      <c r="AG125" s="4355"/>
      <c r="AH125" s="4355"/>
      <c r="AI125" s="4355"/>
      <c r="AJ125" s="4355"/>
      <c r="AK125" s="4355"/>
      <c r="AL125" s="4355"/>
      <c r="AM125" s="4355"/>
      <c r="AN125" s="4355"/>
      <c r="AO125" s="4355"/>
      <c r="AP125" s="4355"/>
      <c r="AQ125" s="4355"/>
      <c r="AR125" s="4355"/>
      <c r="AS125" s="4355"/>
      <c r="AT125" s="4356"/>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2">
        <f t="shared" si="36"/>
        <v>0</v>
      </c>
      <c r="H126" s="4353">
        <f t="shared" si="37"/>
        <v>0</v>
      </c>
      <c r="I126" s="4354"/>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03">
        <f t="shared" si="38"/>
        <v>0</v>
      </c>
      <c r="AD126" s="4355"/>
      <c r="AE126" s="4355"/>
      <c r="AF126" s="4355"/>
      <c r="AG126" s="4355"/>
      <c r="AH126" s="4355"/>
      <c r="AI126" s="4355"/>
      <c r="AJ126" s="4355"/>
      <c r="AK126" s="4355"/>
      <c r="AL126" s="4355"/>
      <c r="AM126" s="4355"/>
      <c r="AN126" s="4355"/>
      <c r="AO126" s="4355"/>
      <c r="AP126" s="4355"/>
      <c r="AQ126" s="4355"/>
      <c r="AR126" s="4355"/>
      <c r="AS126" s="4355"/>
      <c r="AT126" s="4356"/>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2">
        <f t="shared" si="36"/>
        <v>0</v>
      </c>
      <c r="H127" s="4353">
        <f t="shared" si="37"/>
        <v>0</v>
      </c>
      <c r="I127" s="4354"/>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03">
        <f t="shared" si="38"/>
        <v>0</v>
      </c>
      <c r="AD127" s="4355"/>
      <c r="AE127" s="4355"/>
      <c r="AF127" s="4355"/>
      <c r="AG127" s="4355"/>
      <c r="AH127" s="4355"/>
      <c r="AI127" s="4355"/>
      <c r="AJ127" s="4355"/>
      <c r="AK127" s="4355"/>
      <c r="AL127" s="4355"/>
      <c r="AM127" s="4355"/>
      <c r="AN127" s="4355"/>
      <c r="AO127" s="4355"/>
      <c r="AP127" s="4355"/>
      <c r="AQ127" s="4355"/>
      <c r="AR127" s="4355"/>
      <c r="AS127" s="4355"/>
      <c r="AT127" s="4356"/>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2">
        <f t="shared" si="36"/>
        <v>0</v>
      </c>
      <c r="H128" s="4353">
        <f t="shared" si="37"/>
        <v>0</v>
      </c>
      <c r="I128" s="4354"/>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03">
        <f t="shared" si="38"/>
        <v>0</v>
      </c>
      <c r="AD128" s="4355"/>
      <c r="AE128" s="4355"/>
      <c r="AF128" s="4355"/>
      <c r="AG128" s="4355"/>
      <c r="AH128" s="4355"/>
      <c r="AI128" s="4355"/>
      <c r="AJ128" s="4355"/>
      <c r="AK128" s="4355"/>
      <c r="AL128" s="4355"/>
      <c r="AM128" s="4355"/>
      <c r="AN128" s="4355"/>
      <c r="AO128" s="4355"/>
      <c r="AP128" s="4355"/>
      <c r="AQ128" s="4355"/>
      <c r="AR128" s="4355"/>
      <c r="AS128" s="4355"/>
      <c r="AT128" s="4356"/>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2">
        <f t="shared" si="36"/>
        <v>0</v>
      </c>
      <c r="H129" s="4353">
        <f t="shared" si="37"/>
        <v>0</v>
      </c>
      <c r="I129" s="4354"/>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03">
        <f t="shared" si="38"/>
        <v>0</v>
      </c>
      <c r="AD129" s="4355"/>
      <c r="AE129" s="4355"/>
      <c r="AF129" s="4355"/>
      <c r="AG129" s="4355"/>
      <c r="AH129" s="4355"/>
      <c r="AI129" s="4355"/>
      <c r="AJ129" s="4355"/>
      <c r="AK129" s="4355"/>
      <c r="AL129" s="4355"/>
      <c r="AM129" s="4355"/>
      <c r="AN129" s="4355"/>
      <c r="AO129" s="4355"/>
      <c r="AP129" s="4355"/>
      <c r="AQ129" s="4355"/>
      <c r="AR129" s="4355"/>
      <c r="AS129" s="4355"/>
      <c r="AT129" s="4356"/>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2">
        <f t="shared" si="36"/>
        <v>0</v>
      </c>
      <c r="H130" s="4353">
        <f t="shared" si="37"/>
        <v>0</v>
      </c>
      <c r="I130" s="4354"/>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03">
        <f t="shared" si="38"/>
        <v>0</v>
      </c>
      <c r="AD130" s="4355"/>
      <c r="AE130" s="4355"/>
      <c r="AF130" s="4355"/>
      <c r="AG130" s="4355"/>
      <c r="AH130" s="4355"/>
      <c r="AI130" s="4355"/>
      <c r="AJ130" s="4355"/>
      <c r="AK130" s="4355"/>
      <c r="AL130" s="4355"/>
      <c r="AM130" s="4355"/>
      <c r="AN130" s="4355"/>
      <c r="AO130" s="4355"/>
      <c r="AP130" s="4355"/>
      <c r="AQ130" s="4355"/>
      <c r="AR130" s="4355"/>
      <c r="AS130" s="4355"/>
      <c r="AT130" s="4356"/>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2">
        <f t="shared" si="36"/>
        <v>0</v>
      </c>
      <c r="H131" s="4353">
        <f t="shared" si="37"/>
        <v>0</v>
      </c>
      <c r="I131" s="4354"/>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03">
        <f t="shared" si="38"/>
        <v>0</v>
      </c>
      <c r="AD131" s="4355"/>
      <c r="AE131" s="4355"/>
      <c r="AF131" s="4355"/>
      <c r="AG131" s="4355"/>
      <c r="AH131" s="4355"/>
      <c r="AI131" s="4355"/>
      <c r="AJ131" s="4355"/>
      <c r="AK131" s="4355"/>
      <c r="AL131" s="4355"/>
      <c r="AM131" s="4355"/>
      <c r="AN131" s="4355"/>
      <c r="AO131" s="4355"/>
      <c r="AP131" s="4355"/>
      <c r="AQ131" s="4355"/>
      <c r="AR131" s="4355"/>
      <c r="AS131" s="4355"/>
      <c r="AT131" s="4356"/>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2">
        <f t="shared" si="36"/>
        <v>0</v>
      </c>
      <c r="H132" s="4353">
        <f t="shared" si="37"/>
        <v>0</v>
      </c>
      <c r="I132" s="4354"/>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03">
        <f t="shared" si="38"/>
        <v>0</v>
      </c>
      <c r="AD132" s="4355"/>
      <c r="AE132" s="4355"/>
      <c r="AF132" s="4355"/>
      <c r="AG132" s="4355"/>
      <c r="AH132" s="4355"/>
      <c r="AI132" s="4355"/>
      <c r="AJ132" s="4355"/>
      <c r="AK132" s="4355"/>
      <c r="AL132" s="4355"/>
      <c r="AM132" s="4355"/>
      <c r="AN132" s="4355"/>
      <c r="AO132" s="4355"/>
      <c r="AP132" s="4355"/>
      <c r="AQ132" s="4355"/>
      <c r="AR132" s="4355"/>
      <c r="AS132" s="4355"/>
      <c r="AT132" s="4356"/>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2">
        <f t="shared" si="36"/>
        <v>0</v>
      </c>
      <c r="H133" s="4353">
        <f t="shared" si="37"/>
        <v>0</v>
      </c>
      <c r="I133" s="4354"/>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03">
        <f t="shared" si="38"/>
        <v>0</v>
      </c>
      <c r="AD133" s="4355"/>
      <c r="AE133" s="4355"/>
      <c r="AF133" s="4355"/>
      <c r="AG133" s="4355"/>
      <c r="AH133" s="4355"/>
      <c r="AI133" s="4355"/>
      <c r="AJ133" s="4355"/>
      <c r="AK133" s="4355"/>
      <c r="AL133" s="4355"/>
      <c r="AM133" s="4355"/>
      <c r="AN133" s="4355"/>
      <c r="AO133" s="4355"/>
      <c r="AP133" s="4355"/>
      <c r="AQ133" s="4355"/>
      <c r="AR133" s="4355"/>
      <c r="AS133" s="4355"/>
      <c r="AT133" s="4356"/>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2">
        <f t="shared" si="36"/>
        <v>0</v>
      </c>
      <c r="H134" s="4353">
        <f t="shared" si="37"/>
        <v>0</v>
      </c>
      <c r="I134" s="4354"/>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03">
        <f t="shared" si="38"/>
        <v>0</v>
      </c>
      <c r="AD134" s="4355"/>
      <c r="AE134" s="4355"/>
      <c r="AF134" s="4355"/>
      <c r="AG134" s="4355"/>
      <c r="AH134" s="4355"/>
      <c r="AI134" s="4355"/>
      <c r="AJ134" s="4355"/>
      <c r="AK134" s="4355"/>
      <c r="AL134" s="4355"/>
      <c r="AM134" s="4355"/>
      <c r="AN134" s="4355"/>
      <c r="AO134" s="4355"/>
      <c r="AP134" s="4355"/>
      <c r="AQ134" s="4355"/>
      <c r="AR134" s="4355"/>
      <c r="AS134" s="4355"/>
      <c r="AT134" s="4356"/>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2">
        <f t="shared" si="36"/>
        <v>0</v>
      </c>
      <c r="H135" s="4353">
        <f t="shared" si="37"/>
        <v>0</v>
      </c>
      <c r="I135" s="4354"/>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03">
        <f t="shared" si="38"/>
        <v>0</v>
      </c>
      <c r="AD135" s="4355"/>
      <c r="AE135" s="4355"/>
      <c r="AF135" s="4355"/>
      <c r="AG135" s="4355"/>
      <c r="AH135" s="4355"/>
      <c r="AI135" s="4355"/>
      <c r="AJ135" s="4355"/>
      <c r="AK135" s="4355"/>
      <c r="AL135" s="4355"/>
      <c r="AM135" s="4355"/>
      <c r="AN135" s="4355"/>
      <c r="AO135" s="4355"/>
      <c r="AP135" s="4355"/>
      <c r="AQ135" s="4355"/>
      <c r="AR135" s="4355"/>
      <c r="AS135" s="4355"/>
      <c r="AT135" s="4356"/>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2">
        <f t="shared" si="36"/>
        <v>0</v>
      </c>
      <c r="H136" s="4353">
        <f t="shared" si="37"/>
        <v>0</v>
      </c>
      <c r="I136" s="4354"/>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03">
        <f t="shared" si="38"/>
        <v>0</v>
      </c>
      <c r="AD136" s="4355"/>
      <c r="AE136" s="4355"/>
      <c r="AF136" s="4355"/>
      <c r="AG136" s="4355"/>
      <c r="AH136" s="4355"/>
      <c r="AI136" s="4355"/>
      <c r="AJ136" s="4355"/>
      <c r="AK136" s="4355"/>
      <c r="AL136" s="4355"/>
      <c r="AM136" s="4355"/>
      <c r="AN136" s="4355"/>
      <c r="AO136" s="4355"/>
      <c r="AP136" s="4355"/>
      <c r="AQ136" s="4355"/>
      <c r="AR136" s="4355"/>
      <c r="AS136" s="4355"/>
      <c r="AT136" s="4356"/>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2">
        <f t="shared" si="36"/>
        <v>0</v>
      </c>
      <c r="H137" s="4353">
        <f t="shared" si="37"/>
        <v>0</v>
      </c>
      <c r="I137" s="4354"/>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03">
        <f t="shared" si="38"/>
        <v>0</v>
      </c>
      <c r="AD137" s="4355"/>
      <c r="AE137" s="4355"/>
      <c r="AF137" s="4355"/>
      <c r="AG137" s="4355"/>
      <c r="AH137" s="4355"/>
      <c r="AI137" s="4355"/>
      <c r="AJ137" s="4355"/>
      <c r="AK137" s="4355"/>
      <c r="AL137" s="4355"/>
      <c r="AM137" s="4355"/>
      <c r="AN137" s="4355"/>
      <c r="AO137" s="4355"/>
      <c r="AP137" s="4355"/>
      <c r="AQ137" s="4355"/>
      <c r="AR137" s="4355"/>
      <c r="AS137" s="4355"/>
      <c r="AT137" s="4356"/>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2">
        <f t="shared" si="36"/>
        <v>0</v>
      </c>
      <c r="H138" s="4353">
        <f t="shared" si="37"/>
        <v>0</v>
      </c>
      <c r="I138" s="4354"/>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03">
        <f t="shared" si="38"/>
        <v>0</v>
      </c>
      <c r="AD138" s="4355"/>
      <c r="AE138" s="4355"/>
      <c r="AF138" s="4355"/>
      <c r="AG138" s="4355"/>
      <c r="AH138" s="4355"/>
      <c r="AI138" s="4355"/>
      <c r="AJ138" s="4355"/>
      <c r="AK138" s="4355"/>
      <c r="AL138" s="4355"/>
      <c r="AM138" s="4355"/>
      <c r="AN138" s="4355"/>
      <c r="AO138" s="4355"/>
      <c r="AP138" s="4355"/>
      <c r="AQ138" s="4355"/>
      <c r="AR138" s="4355"/>
      <c r="AS138" s="4355"/>
      <c r="AT138" s="4356"/>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2">
        <f t="shared" si="36"/>
        <v>0</v>
      </c>
      <c r="H139" s="4353">
        <f t="shared" si="37"/>
        <v>0</v>
      </c>
      <c r="I139" s="4354"/>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03">
        <f t="shared" si="38"/>
        <v>0</v>
      </c>
      <c r="AD139" s="4355"/>
      <c r="AE139" s="4355"/>
      <c r="AF139" s="4355"/>
      <c r="AG139" s="4355"/>
      <c r="AH139" s="4355"/>
      <c r="AI139" s="4355"/>
      <c r="AJ139" s="4355"/>
      <c r="AK139" s="4355"/>
      <c r="AL139" s="4355"/>
      <c r="AM139" s="4355"/>
      <c r="AN139" s="4355"/>
      <c r="AO139" s="4355"/>
      <c r="AP139" s="4355"/>
      <c r="AQ139" s="4355"/>
      <c r="AR139" s="4355"/>
      <c r="AS139" s="4355"/>
      <c r="AT139" s="4356"/>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2">
        <f t="shared" si="36"/>
        <v>0</v>
      </c>
      <c r="H140" s="4353">
        <f t="shared" si="37"/>
        <v>0</v>
      </c>
      <c r="I140" s="4354"/>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03">
        <f t="shared" si="38"/>
        <v>0</v>
      </c>
      <c r="AD140" s="4355"/>
      <c r="AE140" s="4355"/>
      <c r="AF140" s="4355"/>
      <c r="AG140" s="4355"/>
      <c r="AH140" s="4355"/>
      <c r="AI140" s="4355"/>
      <c r="AJ140" s="4355"/>
      <c r="AK140" s="4355"/>
      <c r="AL140" s="4355"/>
      <c r="AM140" s="4355"/>
      <c r="AN140" s="4355"/>
      <c r="AO140" s="4355"/>
      <c r="AP140" s="4355"/>
      <c r="AQ140" s="4355"/>
      <c r="AR140" s="4355"/>
      <c r="AS140" s="4355"/>
      <c r="AT140" s="4356"/>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2">
        <f t="shared" si="36"/>
        <v>0</v>
      </c>
      <c r="H141" s="4353">
        <f t="shared" si="37"/>
        <v>0</v>
      </c>
      <c r="I141" s="4354"/>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03">
        <f t="shared" si="38"/>
        <v>0</v>
      </c>
      <c r="AD141" s="4355"/>
      <c r="AE141" s="4355"/>
      <c r="AF141" s="4355"/>
      <c r="AG141" s="4355"/>
      <c r="AH141" s="4355"/>
      <c r="AI141" s="4355"/>
      <c r="AJ141" s="4355"/>
      <c r="AK141" s="4355"/>
      <c r="AL141" s="4355"/>
      <c r="AM141" s="4355"/>
      <c r="AN141" s="4355"/>
      <c r="AO141" s="4355"/>
      <c r="AP141" s="4355"/>
      <c r="AQ141" s="4355"/>
      <c r="AR141" s="4355"/>
      <c r="AS141" s="4355"/>
      <c r="AT141" s="4356"/>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2">
        <f t="shared" ref="G142:G173" si="65">H142+AC142+AT142</f>
        <v>0</v>
      </c>
      <c r="H142" s="4353">
        <f t="shared" ref="H142:H173" si="66">SUMIF(I$12:AB$12,"总值",I142:AB142)</f>
        <v>0</v>
      </c>
      <c r="I142" s="4354"/>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03">
        <f t="shared" ref="AC142:AC173" si="67">SUMIF(AD$12:AS$12,"总值",AD142:AS142)</f>
        <v>0</v>
      </c>
      <c r="AD142" s="4355"/>
      <c r="AE142" s="4355"/>
      <c r="AF142" s="4355"/>
      <c r="AG142" s="4355"/>
      <c r="AH142" s="4355"/>
      <c r="AI142" s="4355"/>
      <c r="AJ142" s="4355"/>
      <c r="AK142" s="4355"/>
      <c r="AL142" s="4355"/>
      <c r="AM142" s="4355"/>
      <c r="AN142" s="4355"/>
      <c r="AO142" s="4355"/>
      <c r="AP142" s="4355"/>
      <c r="AQ142" s="4355"/>
      <c r="AR142" s="4355"/>
      <c r="AS142" s="4355"/>
      <c r="AT142" s="4356"/>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2">
        <f t="shared" si="65"/>
        <v>0</v>
      </c>
      <c r="H143" s="4353">
        <f t="shared" si="66"/>
        <v>0</v>
      </c>
      <c r="I143" s="4354"/>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03">
        <f t="shared" si="67"/>
        <v>0</v>
      </c>
      <c r="AD143" s="4355"/>
      <c r="AE143" s="4355"/>
      <c r="AF143" s="4355"/>
      <c r="AG143" s="4355"/>
      <c r="AH143" s="4355"/>
      <c r="AI143" s="4355"/>
      <c r="AJ143" s="4355"/>
      <c r="AK143" s="4355"/>
      <c r="AL143" s="4355"/>
      <c r="AM143" s="4355"/>
      <c r="AN143" s="4355"/>
      <c r="AO143" s="4355"/>
      <c r="AP143" s="4355"/>
      <c r="AQ143" s="4355"/>
      <c r="AR143" s="4355"/>
      <c r="AS143" s="4355"/>
      <c r="AT143" s="4356"/>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2">
        <f t="shared" si="65"/>
        <v>0</v>
      </c>
      <c r="H144" s="4353">
        <f t="shared" si="66"/>
        <v>0</v>
      </c>
      <c r="I144" s="4354"/>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03">
        <f t="shared" si="67"/>
        <v>0</v>
      </c>
      <c r="AD144" s="4355"/>
      <c r="AE144" s="4355"/>
      <c r="AF144" s="4355"/>
      <c r="AG144" s="4355"/>
      <c r="AH144" s="4355"/>
      <c r="AI144" s="4355"/>
      <c r="AJ144" s="4355"/>
      <c r="AK144" s="4355"/>
      <c r="AL144" s="4355"/>
      <c r="AM144" s="4355"/>
      <c r="AN144" s="4355"/>
      <c r="AO144" s="4355"/>
      <c r="AP144" s="4355"/>
      <c r="AQ144" s="4355"/>
      <c r="AR144" s="4355"/>
      <c r="AS144" s="4355"/>
      <c r="AT144" s="4356"/>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2">
        <f t="shared" si="65"/>
        <v>0</v>
      </c>
      <c r="H145" s="4353">
        <f t="shared" si="66"/>
        <v>0</v>
      </c>
      <c r="I145" s="4354"/>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03">
        <f t="shared" si="67"/>
        <v>0</v>
      </c>
      <c r="AD145" s="4355"/>
      <c r="AE145" s="4355"/>
      <c r="AF145" s="4355"/>
      <c r="AG145" s="4355"/>
      <c r="AH145" s="4355"/>
      <c r="AI145" s="4355"/>
      <c r="AJ145" s="4355"/>
      <c r="AK145" s="4355"/>
      <c r="AL145" s="4355"/>
      <c r="AM145" s="4355"/>
      <c r="AN145" s="4355"/>
      <c r="AO145" s="4355"/>
      <c r="AP145" s="4355"/>
      <c r="AQ145" s="4355"/>
      <c r="AR145" s="4355"/>
      <c r="AS145" s="4355"/>
      <c r="AT145" s="4356"/>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2">
        <f t="shared" si="65"/>
        <v>0</v>
      </c>
      <c r="H146" s="4353">
        <f t="shared" si="66"/>
        <v>0</v>
      </c>
      <c r="I146" s="4354"/>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03">
        <f t="shared" si="67"/>
        <v>0</v>
      </c>
      <c r="AD146" s="4355"/>
      <c r="AE146" s="4355"/>
      <c r="AF146" s="4355"/>
      <c r="AG146" s="4355"/>
      <c r="AH146" s="4355"/>
      <c r="AI146" s="4355"/>
      <c r="AJ146" s="4355"/>
      <c r="AK146" s="4355"/>
      <c r="AL146" s="4355"/>
      <c r="AM146" s="4355"/>
      <c r="AN146" s="4355"/>
      <c r="AO146" s="4355"/>
      <c r="AP146" s="4355"/>
      <c r="AQ146" s="4355"/>
      <c r="AR146" s="4355"/>
      <c r="AS146" s="4355"/>
      <c r="AT146" s="4356"/>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2">
        <f t="shared" si="65"/>
        <v>0</v>
      </c>
      <c r="H147" s="4353">
        <f t="shared" si="66"/>
        <v>0</v>
      </c>
      <c r="I147" s="4354"/>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03">
        <f t="shared" si="67"/>
        <v>0</v>
      </c>
      <c r="AD147" s="4355"/>
      <c r="AE147" s="4355"/>
      <c r="AF147" s="4355"/>
      <c r="AG147" s="4355"/>
      <c r="AH147" s="4355"/>
      <c r="AI147" s="4355"/>
      <c r="AJ147" s="4355"/>
      <c r="AK147" s="4355"/>
      <c r="AL147" s="4355"/>
      <c r="AM147" s="4355"/>
      <c r="AN147" s="4355"/>
      <c r="AO147" s="4355"/>
      <c r="AP147" s="4355"/>
      <c r="AQ147" s="4355"/>
      <c r="AR147" s="4355"/>
      <c r="AS147" s="4355"/>
      <c r="AT147" s="4356"/>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2">
        <f t="shared" si="65"/>
        <v>0</v>
      </c>
      <c r="H148" s="4353">
        <f t="shared" si="66"/>
        <v>0</v>
      </c>
      <c r="I148" s="4354"/>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03">
        <f t="shared" si="67"/>
        <v>0</v>
      </c>
      <c r="AD148" s="4355"/>
      <c r="AE148" s="4355"/>
      <c r="AF148" s="4355"/>
      <c r="AG148" s="4355"/>
      <c r="AH148" s="4355"/>
      <c r="AI148" s="4355"/>
      <c r="AJ148" s="4355"/>
      <c r="AK148" s="4355"/>
      <c r="AL148" s="4355"/>
      <c r="AM148" s="4355"/>
      <c r="AN148" s="4355"/>
      <c r="AO148" s="4355"/>
      <c r="AP148" s="4355"/>
      <c r="AQ148" s="4355"/>
      <c r="AR148" s="4355"/>
      <c r="AS148" s="4355"/>
      <c r="AT148" s="4356"/>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2">
        <f t="shared" si="65"/>
        <v>0</v>
      </c>
      <c r="H149" s="4353">
        <f t="shared" si="66"/>
        <v>0</v>
      </c>
      <c r="I149" s="4354"/>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03">
        <f t="shared" si="67"/>
        <v>0</v>
      </c>
      <c r="AD149" s="4355"/>
      <c r="AE149" s="4355"/>
      <c r="AF149" s="4355"/>
      <c r="AG149" s="4355"/>
      <c r="AH149" s="4355"/>
      <c r="AI149" s="4355"/>
      <c r="AJ149" s="4355"/>
      <c r="AK149" s="4355"/>
      <c r="AL149" s="4355"/>
      <c r="AM149" s="4355"/>
      <c r="AN149" s="4355"/>
      <c r="AO149" s="4355"/>
      <c r="AP149" s="4355"/>
      <c r="AQ149" s="4355"/>
      <c r="AR149" s="4355"/>
      <c r="AS149" s="4355"/>
      <c r="AT149" s="4356"/>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2">
        <f t="shared" si="65"/>
        <v>0</v>
      </c>
      <c r="H150" s="4353">
        <f t="shared" si="66"/>
        <v>0</v>
      </c>
      <c r="I150" s="4354"/>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03">
        <f t="shared" si="67"/>
        <v>0</v>
      </c>
      <c r="AD150" s="4355"/>
      <c r="AE150" s="4355"/>
      <c r="AF150" s="4355"/>
      <c r="AG150" s="4355"/>
      <c r="AH150" s="4355"/>
      <c r="AI150" s="4355"/>
      <c r="AJ150" s="4355"/>
      <c r="AK150" s="4355"/>
      <c r="AL150" s="4355"/>
      <c r="AM150" s="4355"/>
      <c r="AN150" s="4355"/>
      <c r="AO150" s="4355"/>
      <c r="AP150" s="4355"/>
      <c r="AQ150" s="4355"/>
      <c r="AR150" s="4355"/>
      <c r="AS150" s="4355"/>
      <c r="AT150" s="4356"/>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2">
        <f t="shared" si="65"/>
        <v>0</v>
      </c>
      <c r="H151" s="4353">
        <f t="shared" si="66"/>
        <v>0</v>
      </c>
      <c r="I151" s="4354"/>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03">
        <f t="shared" si="67"/>
        <v>0</v>
      </c>
      <c r="AD151" s="4355"/>
      <c r="AE151" s="4355"/>
      <c r="AF151" s="4355"/>
      <c r="AG151" s="4355"/>
      <c r="AH151" s="4355"/>
      <c r="AI151" s="4355"/>
      <c r="AJ151" s="4355"/>
      <c r="AK151" s="4355"/>
      <c r="AL151" s="4355"/>
      <c r="AM151" s="4355"/>
      <c r="AN151" s="4355"/>
      <c r="AO151" s="4355"/>
      <c r="AP151" s="4355"/>
      <c r="AQ151" s="4355"/>
      <c r="AR151" s="4355"/>
      <c r="AS151" s="4355"/>
      <c r="AT151" s="4356"/>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2">
        <f t="shared" si="65"/>
        <v>0</v>
      </c>
      <c r="H152" s="4353">
        <f t="shared" si="66"/>
        <v>0</v>
      </c>
      <c r="I152" s="4354"/>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03">
        <f t="shared" si="67"/>
        <v>0</v>
      </c>
      <c r="AD152" s="4355"/>
      <c r="AE152" s="4355"/>
      <c r="AF152" s="4355"/>
      <c r="AG152" s="4355"/>
      <c r="AH152" s="4355"/>
      <c r="AI152" s="4355"/>
      <c r="AJ152" s="4355"/>
      <c r="AK152" s="4355"/>
      <c r="AL152" s="4355"/>
      <c r="AM152" s="4355"/>
      <c r="AN152" s="4355"/>
      <c r="AO152" s="4355"/>
      <c r="AP152" s="4355"/>
      <c r="AQ152" s="4355"/>
      <c r="AR152" s="4355"/>
      <c r="AS152" s="4355"/>
      <c r="AT152" s="4356"/>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2">
        <f t="shared" si="65"/>
        <v>0</v>
      </c>
      <c r="H153" s="4353">
        <f t="shared" si="66"/>
        <v>0</v>
      </c>
      <c r="I153" s="4354"/>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03">
        <f t="shared" si="67"/>
        <v>0</v>
      </c>
      <c r="AD153" s="4355"/>
      <c r="AE153" s="4355"/>
      <c r="AF153" s="4355"/>
      <c r="AG153" s="4355"/>
      <c r="AH153" s="4355"/>
      <c r="AI153" s="4355"/>
      <c r="AJ153" s="4355"/>
      <c r="AK153" s="4355"/>
      <c r="AL153" s="4355"/>
      <c r="AM153" s="4355"/>
      <c r="AN153" s="4355"/>
      <c r="AO153" s="4355"/>
      <c r="AP153" s="4355"/>
      <c r="AQ153" s="4355"/>
      <c r="AR153" s="4355"/>
      <c r="AS153" s="4355"/>
      <c r="AT153" s="4356"/>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2">
        <f t="shared" si="65"/>
        <v>0</v>
      </c>
      <c r="H154" s="4353">
        <f t="shared" si="66"/>
        <v>0</v>
      </c>
      <c r="I154" s="4354"/>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03">
        <f t="shared" si="67"/>
        <v>0</v>
      </c>
      <c r="AD154" s="4355"/>
      <c r="AE154" s="4355"/>
      <c r="AF154" s="4355"/>
      <c r="AG154" s="4355"/>
      <c r="AH154" s="4355"/>
      <c r="AI154" s="4355"/>
      <c r="AJ154" s="4355"/>
      <c r="AK154" s="4355"/>
      <c r="AL154" s="4355"/>
      <c r="AM154" s="4355"/>
      <c r="AN154" s="4355"/>
      <c r="AO154" s="4355"/>
      <c r="AP154" s="4355"/>
      <c r="AQ154" s="4355"/>
      <c r="AR154" s="4355"/>
      <c r="AS154" s="4355"/>
      <c r="AT154" s="4356"/>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2">
        <f t="shared" si="65"/>
        <v>0</v>
      </c>
      <c r="H155" s="4353">
        <f t="shared" si="66"/>
        <v>0</v>
      </c>
      <c r="I155" s="4354"/>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03">
        <f t="shared" si="67"/>
        <v>0</v>
      </c>
      <c r="AD155" s="4355"/>
      <c r="AE155" s="4355"/>
      <c r="AF155" s="4355"/>
      <c r="AG155" s="4355"/>
      <c r="AH155" s="4355"/>
      <c r="AI155" s="4355"/>
      <c r="AJ155" s="4355"/>
      <c r="AK155" s="4355"/>
      <c r="AL155" s="4355"/>
      <c r="AM155" s="4355"/>
      <c r="AN155" s="4355"/>
      <c r="AO155" s="4355"/>
      <c r="AP155" s="4355"/>
      <c r="AQ155" s="4355"/>
      <c r="AR155" s="4355"/>
      <c r="AS155" s="4355"/>
      <c r="AT155" s="4356"/>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2">
        <f t="shared" si="65"/>
        <v>0</v>
      </c>
      <c r="H156" s="4353">
        <f t="shared" si="66"/>
        <v>0</v>
      </c>
      <c r="I156" s="4354"/>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03">
        <f t="shared" si="67"/>
        <v>0</v>
      </c>
      <c r="AD156" s="4355"/>
      <c r="AE156" s="4355"/>
      <c r="AF156" s="4355"/>
      <c r="AG156" s="4355"/>
      <c r="AH156" s="4355"/>
      <c r="AI156" s="4355"/>
      <c r="AJ156" s="4355"/>
      <c r="AK156" s="4355"/>
      <c r="AL156" s="4355"/>
      <c r="AM156" s="4355"/>
      <c r="AN156" s="4355"/>
      <c r="AO156" s="4355"/>
      <c r="AP156" s="4355"/>
      <c r="AQ156" s="4355"/>
      <c r="AR156" s="4355"/>
      <c r="AS156" s="4355"/>
      <c r="AT156" s="4356"/>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2">
        <f t="shared" si="65"/>
        <v>0</v>
      </c>
      <c r="H157" s="4353">
        <f t="shared" si="66"/>
        <v>0</v>
      </c>
      <c r="I157" s="4354"/>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03">
        <f t="shared" si="67"/>
        <v>0</v>
      </c>
      <c r="AD157" s="4355"/>
      <c r="AE157" s="4355"/>
      <c r="AF157" s="4355"/>
      <c r="AG157" s="4355"/>
      <c r="AH157" s="4355"/>
      <c r="AI157" s="4355"/>
      <c r="AJ157" s="4355"/>
      <c r="AK157" s="4355"/>
      <c r="AL157" s="4355"/>
      <c r="AM157" s="4355"/>
      <c r="AN157" s="4355"/>
      <c r="AO157" s="4355"/>
      <c r="AP157" s="4355"/>
      <c r="AQ157" s="4355"/>
      <c r="AR157" s="4355"/>
      <c r="AS157" s="4355"/>
      <c r="AT157" s="4356"/>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2">
        <f t="shared" si="65"/>
        <v>0</v>
      </c>
      <c r="H158" s="4353">
        <f t="shared" si="66"/>
        <v>0</v>
      </c>
      <c r="I158" s="4354"/>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03">
        <f t="shared" si="67"/>
        <v>0</v>
      </c>
      <c r="AD158" s="4355"/>
      <c r="AE158" s="4355"/>
      <c r="AF158" s="4355"/>
      <c r="AG158" s="4355"/>
      <c r="AH158" s="4355"/>
      <c r="AI158" s="4355"/>
      <c r="AJ158" s="4355"/>
      <c r="AK158" s="4355"/>
      <c r="AL158" s="4355"/>
      <c r="AM158" s="4355"/>
      <c r="AN158" s="4355"/>
      <c r="AO158" s="4355"/>
      <c r="AP158" s="4355"/>
      <c r="AQ158" s="4355"/>
      <c r="AR158" s="4355"/>
      <c r="AS158" s="4355"/>
      <c r="AT158" s="4356"/>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2">
        <f t="shared" si="65"/>
        <v>0</v>
      </c>
      <c r="H159" s="4353">
        <f t="shared" si="66"/>
        <v>0</v>
      </c>
      <c r="I159" s="4354"/>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03">
        <f t="shared" si="67"/>
        <v>0</v>
      </c>
      <c r="AD159" s="4355"/>
      <c r="AE159" s="4355"/>
      <c r="AF159" s="4355"/>
      <c r="AG159" s="4355"/>
      <c r="AH159" s="4355"/>
      <c r="AI159" s="4355"/>
      <c r="AJ159" s="4355"/>
      <c r="AK159" s="4355"/>
      <c r="AL159" s="4355"/>
      <c r="AM159" s="4355"/>
      <c r="AN159" s="4355"/>
      <c r="AO159" s="4355"/>
      <c r="AP159" s="4355"/>
      <c r="AQ159" s="4355"/>
      <c r="AR159" s="4355"/>
      <c r="AS159" s="4355"/>
      <c r="AT159" s="4356"/>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2">
        <f t="shared" si="65"/>
        <v>0</v>
      </c>
      <c r="H160" s="4353">
        <f t="shared" si="66"/>
        <v>0</v>
      </c>
      <c r="I160" s="4354"/>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03">
        <f t="shared" si="67"/>
        <v>0</v>
      </c>
      <c r="AD160" s="4355"/>
      <c r="AE160" s="4355"/>
      <c r="AF160" s="4355"/>
      <c r="AG160" s="4355"/>
      <c r="AH160" s="4355"/>
      <c r="AI160" s="4355"/>
      <c r="AJ160" s="4355"/>
      <c r="AK160" s="4355"/>
      <c r="AL160" s="4355"/>
      <c r="AM160" s="4355"/>
      <c r="AN160" s="4355"/>
      <c r="AO160" s="4355"/>
      <c r="AP160" s="4355"/>
      <c r="AQ160" s="4355"/>
      <c r="AR160" s="4355"/>
      <c r="AS160" s="4355"/>
      <c r="AT160" s="4356"/>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2">
        <f t="shared" si="65"/>
        <v>0</v>
      </c>
      <c r="H161" s="4353">
        <f t="shared" si="66"/>
        <v>0</v>
      </c>
      <c r="I161" s="4354"/>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03">
        <f t="shared" si="67"/>
        <v>0</v>
      </c>
      <c r="AD161" s="4355"/>
      <c r="AE161" s="4355"/>
      <c r="AF161" s="4355"/>
      <c r="AG161" s="4355"/>
      <c r="AH161" s="4355"/>
      <c r="AI161" s="4355"/>
      <c r="AJ161" s="4355"/>
      <c r="AK161" s="4355"/>
      <c r="AL161" s="4355"/>
      <c r="AM161" s="4355"/>
      <c r="AN161" s="4355"/>
      <c r="AO161" s="4355"/>
      <c r="AP161" s="4355"/>
      <c r="AQ161" s="4355"/>
      <c r="AR161" s="4355"/>
      <c r="AS161" s="4355"/>
      <c r="AT161" s="4356"/>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2">
        <f t="shared" si="65"/>
        <v>0</v>
      </c>
      <c r="H162" s="4353">
        <f t="shared" si="66"/>
        <v>0</v>
      </c>
      <c r="I162" s="4354"/>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03">
        <f t="shared" si="67"/>
        <v>0</v>
      </c>
      <c r="AD162" s="4355"/>
      <c r="AE162" s="4355"/>
      <c r="AF162" s="4355"/>
      <c r="AG162" s="4355"/>
      <c r="AH162" s="4355"/>
      <c r="AI162" s="4355"/>
      <c r="AJ162" s="4355"/>
      <c r="AK162" s="4355"/>
      <c r="AL162" s="4355"/>
      <c r="AM162" s="4355"/>
      <c r="AN162" s="4355"/>
      <c r="AO162" s="4355"/>
      <c r="AP162" s="4355"/>
      <c r="AQ162" s="4355"/>
      <c r="AR162" s="4355"/>
      <c r="AS162" s="4355"/>
      <c r="AT162" s="4356"/>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2">
        <f t="shared" si="65"/>
        <v>0</v>
      </c>
      <c r="H163" s="4353">
        <f t="shared" si="66"/>
        <v>0</v>
      </c>
      <c r="I163" s="4354"/>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03">
        <f t="shared" si="67"/>
        <v>0</v>
      </c>
      <c r="AD163" s="4355"/>
      <c r="AE163" s="4355"/>
      <c r="AF163" s="4355"/>
      <c r="AG163" s="4355"/>
      <c r="AH163" s="4355"/>
      <c r="AI163" s="4355"/>
      <c r="AJ163" s="4355"/>
      <c r="AK163" s="4355"/>
      <c r="AL163" s="4355"/>
      <c r="AM163" s="4355"/>
      <c r="AN163" s="4355"/>
      <c r="AO163" s="4355"/>
      <c r="AP163" s="4355"/>
      <c r="AQ163" s="4355"/>
      <c r="AR163" s="4355"/>
      <c r="AS163" s="4355"/>
      <c r="AT163" s="4356"/>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2">
        <f t="shared" si="65"/>
        <v>0</v>
      </c>
      <c r="H164" s="4353">
        <f t="shared" si="66"/>
        <v>0</v>
      </c>
      <c r="I164" s="4354"/>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03">
        <f t="shared" si="67"/>
        <v>0</v>
      </c>
      <c r="AD164" s="4355"/>
      <c r="AE164" s="4355"/>
      <c r="AF164" s="4355"/>
      <c r="AG164" s="4355"/>
      <c r="AH164" s="4355"/>
      <c r="AI164" s="4355"/>
      <c r="AJ164" s="4355"/>
      <c r="AK164" s="4355"/>
      <c r="AL164" s="4355"/>
      <c r="AM164" s="4355"/>
      <c r="AN164" s="4355"/>
      <c r="AO164" s="4355"/>
      <c r="AP164" s="4355"/>
      <c r="AQ164" s="4355"/>
      <c r="AR164" s="4355"/>
      <c r="AS164" s="4355"/>
      <c r="AT164" s="4356"/>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2">
        <f t="shared" si="65"/>
        <v>0</v>
      </c>
      <c r="H165" s="4353">
        <f t="shared" si="66"/>
        <v>0</v>
      </c>
      <c r="I165" s="4354"/>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03">
        <f t="shared" si="67"/>
        <v>0</v>
      </c>
      <c r="AD165" s="4355"/>
      <c r="AE165" s="4355"/>
      <c r="AF165" s="4355"/>
      <c r="AG165" s="4355"/>
      <c r="AH165" s="4355"/>
      <c r="AI165" s="4355"/>
      <c r="AJ165" s="4355"/>
      <c r="AK165" s="4355"/>
      <c r="AL165" s="4355"/>
      <c r="AM165" s="4355"/>
      <c r="AN165" s="4355"/>
      <c r="AO165" s="4355"/>
      <c r="AP165" s="4355"/>
      <c r="AQ165" s="4355"/>
      <c r="AR165" s="4355"/>
      <c r="AS165" s="4355"/>
      <c r="AT165" s="4356"/>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2">
        <f t="shared" si="65"/>
        <v>0</v>
      </c>
      <c r="H166" s="4353">
        <f t="shared" si="66"/>
        <v>0</v>
      </c>
      <c r="I166" s="4354"/>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03">
        <f t="shared" si="67"/>
        <v>0</v>
      </c>
      <c r="AD166" s="4355"/>
      <c r="AE166" s="4355"/>
      <c r="AF166" s="4355"/>
      <c r="AG166" s="4355"/>
      <c r="AH166" s="4355"/>
      <c r="AI166" s="4355"/>
      <c r="AJ166" s="4355"/>
      <c r="AK166" s="4355"/>
      <c r="AL166" s="4355"/>
      <c r="AM166" s="4355"/>
      <c r="AN166" s="4355"/>
      <c r="AO166" s="4355"/>
      <c r="AP166" s="4355"/>
      <c r="AQ166" s="4355"/>
      <c r="AR166" s="4355"/>
      <c r="AS166" s="4355"/>
      <c r="AT166" s="4356"/>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2">
        <f t="shared" si="65"/>
        <v>0</v>
      </c>
      <c r="H167" s="4353">
        <f t="shared" si="66"/>
        <v>0</v>
      </c>
      <c r="I167" s="4354"/>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03">
        <f t="shared" si="67"/>
        <v>0</v>
      </c>
      <c r="AD167" s="4355"/>
      <c r="AE167" s="4355"/>
      <c r="AF167" s="4355"/>
      <c r="AG167" s="4355"/>
      <c r="AH167" s="4355"/>
      <c r="AI167" s="4355"/>
      <c r="AJ167" s="4355"/>
      <c r="AK167" s="4355"/>
      <c r="AL167" s="4355"/>
      <c r="AM167" s="4355"/>
      <c r="AN167" s="4355"/>
      <c r="AO167" s="4355"/>
      <c r="AP167" s="4355"/>
      <c r="AQ167" s="4355"/>
      <c r="AR167" s="4355"/>
      <c r="AS167" s="4355"/>
      <c r="AT167" s="4356"/>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2">
        <f t="shared" si="65"/>
        <v>0</v>
      </c>
      <c r="H168" s="4353">
        <f t="shared" si="66"/>
        <v>0</v>
      </c>
      <c r="I168" s="4354"/>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03">
        <f t="shared" si="67"/>
        <v>0</v>
      </c>
      <c r="AD168" s="4355"/>
      <c r="AE168" s="4355"/>
      <c r="AF168" s="4355"/>
      <c r="AG168" s="4355"/>
      <c r="AH168" s="4355"/>
      <c r="AI168" s="4355"/>
      <c r="AJ168" s="4355"/>
      <c r="AK168" s="4355"/>
      <c r="AL168" s="4355"/>
      <c r="AM168" s="4355"/>
      <c r="AN168" s="4355"/>
      <c r="AO168" s="4355"/>
      <c r="AP168" s="4355"/>
      <c r="AQ168" s="4355"/>
      <c r="AR168" s="4355"/>
      <c r="AS168" s="4355"/>
      <c r="AT168" s="4356"/>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2">
        <f t="shared" si="65"/>
        <v>0</v>
      </c>
      <c r="H169" s="4353">
        <f t="shared" si="66"/>
        <v>0</v>
      </c>
      <c r="I169" s="4354"/>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03">
        <f t="shared" si="67"/>
        <v>0</v>
      </c>
      <c r="AD169" s="4355"/>
      <c r="AE169" s="4355"/>
      <c r="AF169" s="4355"/>
      <c r="AG169" s="4355"/>
      <c r="AH169" s="4355"/>
      <c r="AI169" s="4355"/>
      <c r="AJ169" s="4355"/>
      <c r="AK169" s="4355"/>
      <c r="AL169" s="4355"/>
      <c r="AM169" s="4355"/>
      <c r="AN169" s="4355"/>
      <c r="AO169" s="4355"/>
      <c r="AP169" s="4355"/>
      <c r="AQ169" s="4355"/>
      <c r="AR169" s="4355"/>
      <c r="AS169" s="4355"/>
      <c r="AT169" s="4356"/>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2">
        <f t="shared" si="65"/>
        <v>0</v>
      </c>
      <c r="H170" s="4353">
        <f t="shared" si="66"/>
        <v>0</v>
      </c>
      <c r="I170" s="4354"/>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03">
        <f t="shared" si="67"/>
        <v>0</v>
      </c>
      <c r="AD170" s="4355"/>
      <c r="AE170" s="4355"/>
      <c r="AF170" s="4355"/>
      <c r="AG170" s="4355"/>
      <c r="AH170" s="4355"/>
      <c r="AI170" s="4355"/>
      <c r="AJ170" s="4355"/>
      <c r="AK170" s="4355"/>
      <c r="AL170" s="4355"/>
      <c r="AM170" s="4355"/>
      <c r="AN170" s="4355"/>
      <c r="AO170" s="4355"/>
      <c r="AP170" s="4355"/>
      <c r="AQ170" s="4355"/>
      <c r="AR170" s="4355"/>
      <c r="AS170" s="4355"/>
      <c r="AT170" s="4356"/>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2">
        <f t="shared" si="65"/>
        <v>0</v>
      </c>
      <c r="H171" s="4353">
        <f t="shared" si="66"/>
        <v>0</v>
      </c>
      <c r="I171" s="4354"/>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03">
        <f t="shared" si="67"/>
        <v>0</v>
      </c>
      <c r="AD171" s="4355"/>
      <c r="AE171" s="4355"/>
      <c r="AF171" s="4355"/>
      <c r="AG171" s="4355"/>
      <c r="AH171" s="4355"/>
      <c r="AI171" s="4355"/>
      <c r="AJ171" s="4355"/>
      <c r="AK171" s="4355"/>
      <c r="AL171" s="4355"/>
      <c r="AM171" s="4355"/>
      <c r="AN171" s="4355"/>
      <c r="AO171" s="4355"/>
      <c r="AP171" s="4355"/>
      <c r="AQ171" s="4355"/>
      <c r="AR171" s="4355"/>
      <c r="AS171" s="4355"/>
      <c r="AT171" s="4356"/>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2">
        <f t="shared" si="65"/>
        <v>0</v>
      </c>
      <c r="H172" s="4353">
        <f t="shared" si="66"/>
        <v>0</v>
      </c>
      <c r="I172" s="4354"/>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03">
        <f t="shared" si="67"/>
        <v>0</v>
      </c>
      <c r="AD172" s="4355"/>
      <c r="AE172" s="4355"/>
      <c r="AF172" s="4355"/>
      <c r="AG172" s="4355"/>
      <c r="AH172" s="4355"/>
      <c r="AI172" s="4355"/>
      <c r="AJ172" s="4355"/>
      <c r="AK172" s="4355"/>
      <c r="AL172" s="4355"/>
      <c r="AM172" s="4355"/>
      <c r="AN172" s="4355"/>
      <c r="AO172" s="4355"/>
      <c r="AP172" s="4355"/>
      <c r="AQ172" s="4355"/>
      <c r="AR172" s="4355"/>
      <c r="AS172" s="4355"/>
      <c r="AT172" s="4356"/>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2">
        <f t="shared" si="65"/>
        <v>0</v>
      </c>
      <c r="H173" s="4353">
        <f t="shared" si="66"/>
        <v>0</v>
      </c>
      <c r="I173" s="4354"/>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03">
        <f t="shared" si="67"/>
        <v>0</v>
      </c>
      <c r="AD173" s="4355"/>
      <c r="AE173" s="4355"/>
      <c r="AF173" s="4355"/>
      <c r="AG173" s="4355"/>
      <c r="AH173" s="4355"/>
      <c r="AI173" s="4355"/>
      <c r="AJ173" s="4355"/>
      <c r="AK173" s="4355"/>
      <c r="AL173" s="4355"/>
      <c r="AM173" s="4355"/>
      <c r="AN173" s="4355"/>
      <c r="AO173" s="4355"/>
      <c r="AP173" s="4355"/>
      <c r="AQ173" s="4355"/>
      <c r="AR173" s="4355"/>
      <c r="AS173" s="4355"/>
      <c r="AT173" s="4356"/>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2">
        <f t="shared" ref="G174:G205" si="94">H174+AC174+AT174</f>
        <v>0</v>
      </c>
      <c r="H174" s="4353">
        <f t="shared" ref="H174:H205" si="95">SUMIF(I$12:AB$12,"总值",I174:AB174)</f>
        <v>0</v>
      </c>
      <c r="I174" s="4354"/>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03">
        <f t="shared" ref="AC174:AC205" si="96">SUMIF(AD$12:AS$12,"总值",AD174:AS174)</f>
        <v>0</v>
      </c>
      <c r="AD174" s="4355"/>
      <c r="AE174" s="4355"/>
      <c r="AF174" s="4355"/>
      <c r="AG174" s="4355"/>
      <c r="AH174" s="4355"/>
      <c r="AI174" s="4355"/>
      <c r="AJ174" s="4355"/>
      <c r="AK174" s="4355"/>
      <c r="AL174" s="4355"/>
      <c r="AM174" s="4355"/>
      <c r="AN174" s="4355"/>
      <c r="AO174" s="4355"/>
      <c r="AP174" s="4355"/>
      <c r="AQ174" s="4355"/>
      <c r="AR174" s="4355"/>
      <c r="AS174" s="4355"/>
      <c r="AT174" s="4356"/>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2">
        <f t="shared" si="94"/>
        <v>0</v>
      </c>
      <c r="H175" s="4353">
        <f t="shared" si="95"/>
        <v>0</v>
      </c>
      <c r="I175" s="4354"/>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03">
        <f t="shared" si="96"/>
        <v>0</v>
      </c>
      <c r="AD175" s="4355"/>
      <c r="AE175" s="4355"/>
      <c r="AF175" s="4355"/>
      <c r="AG175" s="4355"/>
      <c r="AH175" s="4355"/>
      <c r="AI175" s="4355"/>
      <c r="AJ175" s="4355"/>
      <c r="AK175" s="4355"/>
      <c r="AL175" s="4355"/>
      <c r="AM175" s="4355"/>
      <c r="AN175" s="4355"/>
      <c r="AO175" s="4355"/>
      <c r="AP175" s="4355"/>
      <c r="AQ175" s="4355"/>
      <c r="AR175" s="4355"/>
      <c r="AS175" s="4355"/>
      <c r="AT175" s="4356"/>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2">
        <f t="shared" si="94"/>
        <v>0</v>
      </c>
      <c r="H176" s="4353">
        <f t="shared" si="95"/>
        <v>0</v>
      </c>
      <c r="I176" s="4354"/>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03">
        <f t="shared" si="96"/>
        <v>0</v>
      </c>
      <c r="AD176" s="4355"/>
      <c r="AE176" s="4355"/>
      <c r="AF176" s="4355"/>
      <c r="AG176" s="4355"/>
      <c r="AH176" s="4355"/>
      <c r="AI176" s="4355"/>
      <c r="AJ176" s="4355"/>
      <c r="AK176" s="4355"/>
      <c r="AL176" s="4355"/>
      <c r="AM176" s="4355"/>
      <c r="AN176" s="4355"/>
      <c r="AO176" s="4355"/>
      <c r="AP176" s="4355"/>
      <c r="AQ176" s="4355"/>
      <c r="AR176" s="4355"/>
      <c r="AS176" s="4355"/>
      <c r="AT176" s="4356"/>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2">
        <f t="shared" si="94"/>
        <v>0</v>
      </c>
      <c r="H177" s="4353">
        <f t="shared" si="95"/>
        <v>0</v>
      </c>
      <c r="I177" s="4354"/>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03">
        <f t="shared" si="96"/>
        <v>0</v>
      </c>
      <c r="AD177" s="4355"/>
      <c r="AE177" s="4355"/>
      <c r="AF177" s="4355"/>
      <c r="AG177" s="4355"/>
      <c r="AH177" s="4355"/>
      <c r="AI177" s="4355"/>
      <c r="AJ177" s="4355"/>
      <c r="AK177" s="4355"/>
      <c r="AL177" s="4355"/>
      <c r="AM177" s="4355"/>
      <c r="AN177" s="4355"/>
      <c r="AO177" s="4355"/>
      <c r="AP177" s="4355"/>
      <c r="AQ177" s="4355"/>
      <c r="AR177" s="4355"/>
      <c r="AS177" s="4355"/>
      <c r="AT177" s="4356"/>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2">
        <f t="shared" si="94"/>
        <v>0</v>
      </c>
      <c r="H178" s="4353">
        <f t="shared" si="95"/>
        <v>0</v>
      </c>
      <c r="I178" s="4354"/>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03">
        <f t="shared" si="96"/>
        <v>0</v>
      </c>
      <c r="AD178" s="4355"/>
      <c r="AE178" s="4355"/>
      <c r="AF178" s="4355"/>
      <c r="AG178" s="4355"/>
      <c r="AH178" s="4355"/>
      <c r="AI178" s="4355"/>
      <c r="AJ178" s="4355"/>
      <c r="AK178" s="4355"/>
      <c r="AL178" s="4355"/>
      <c r="AM178" s="4355"/>
      <c r="AN178" s="4355"/>
      <c r="AO178" s="4355"/>
      <c r="AP178" s="4355"/>
      <c r="AQ178" s="4355"/>
      <c r="AR178" s="4355"/>
      <c r="AS178" s="4355"/>
      <c r="AT178" s="4356"/>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2">
        <f t="shared" si="94"/>
        <v>0</v>
      </c>
      <c r="H179" s="4353">
        <f t="shared" si="95"/>
        <v>0</v>
      </c>
      <c r="I179" s="4354"/>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03">
        <f t="shared" si="96"/>
        <v>0</v>
      </c>
      <c r="AD179" s="4355"/>
      <c r="AE179" s="4355"/>
      <c r="AF179" s="4355"/>
      <c r="AG179" s="4355"/>
      <c r="AH179" s="4355"/>
      <c r="AI179" s="4355"/>
      <c r="AJ179" s="4355"/>
      <c r="AK179" s="4355"/>
      <c r="AL179" s="4355"/>
      <c r="AM179" s="4355"/>
      <c r="AN179" s="4355"/>
      <c r="AO179" s="4355"/>
      <c r="AP179" s="4355"/>
      <c r="AQ179" s="4355"/>
      <c r="AR179" s="4355"/>
      <c r="AS179" s="4355"/>
      <c r="AT179" s="4356"/>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2">
        <f t="shared" si="94"/>
        <v>0</v>
      </c>
      <c r="H180" s="4353">
        <f t="shared" si="95"/>
        <v>0</v>
      </c>
      <c r="I180" s="4354"/>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03">
        <f t="shared" si="96"/>
        <v>0</v>
      </c>
      <c r="AD180" s="4355"/>
      <c r="AE180" s="4355"/>
      <c r="AF180" s="4355"/>
      <c r="AG180" s="4355"/>
      <c r="AH180" s="4355"/>
      <c r="AI180" s="4355"/>
      <c r="AJ180" s="4355"/>
      <c r="AK180" s="4355"/>
      <c r="AL180" s="4355"/>
      <c r="AM180" s="4355"/>
      <c r="AN180" s="4355"/>
      <c r="AO180" s="4355"/>
      <c r="AP180" s="4355"/>
      <c r="AQ180" s="4355"/>
      <c r="AR180" s="4355"/>
      <c r="AS180" s="4355"/>
      <c r="AT180" s="4356"/>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2">
        <f t="shared" si="94"/>
        <v>0</v>
      </c>
      <c r="H181" s="4353">
        <f t="shared" si="95"/>
        <v>0</v>
      </c>
      <c r="I181" s="4354"/>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03">
        <f t="shared" si="96"/>
        <v>0</v>
      </c>
      <c r="AD181" s="4355"/>
      <c r="AE181" s="4355"/>
      <c r="AF181" s="4355"/>
      <c r="AG181" s="4355"/>
      <c r="AH181" s="4355"/>
      <c r="AI181" s="4355"/>
      <c r="AJ181" s="4355"/>
      <c r="AK181" s="4355"/>
      <c r="AL181" s="4355"/>
      <c r="AM181" s="4355"/>
      <c r="AN181" s="4355"/>
      <c r="AO181" s="4355"/>
      <c r="AP181" s="4355"/>
      <c r="AQ181" s="4355"/>
      <c r="AR181" s="4355"/>
      <c r="AS181" s="4355"/>
      <c r="AT181" s="4356"/>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2">
        <f t="shared" si="94"/>
        <v>0</v>
      </c>
      <c r="H182" s="4353">
        <f t="shared" si="95"/>
        <v>0</v>
      </c>
      <c r="I182" s="4354"/>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03">
        <f t="shared" si="96"/>
        <v>0</v>
      </c>
      <c r="AD182" s="4355"/>
      <c r="AE182" s="4355"/>
      <c r="AF182" s="4355"/>
      <c r="AG182" s="4355"/>
      <c r="AH182" s="4355"/>
      <c r="AI182" s="4355"/>
      <c r="AJ182" s="4355"/>
      <c r="AK182" s="4355"/>
      <c r="AL182" s="4355"/>
      <c r="AM182" s="4355"/>
      <c r="AN182" s="4355"/>
      <c r="AO182" s="4355"/>
      <c r="AP182" s="4355"/>
      <c r="AQ182" s="4355"/>
      <c r="AR182" s="4355"/>
      <c r="AS182" s="4355"/>
      <c r="AT182" s="4356"/>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2">
        <f t="shared" si="94"/>
        <v>0</v>
      </c>
      <c r="H183" s="4353">
        <f t="shared" si="95"/>
        <v>0</v>
      </c>
      <c r="I183" s="4354"/>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03">
        <f t="shared" si="96"/>
        <v>0</v>
      </c>
      <c r="AD183" s="4355"/>
      <c r="AE183" s="4355"/>
      <c r="AF183" s="4355"/>
      <c r="AG183" s="4355"/>
      <c r="AH183" s="4355"/>
      <c r="AI183" s="4355"/>
      <c r="AJ183" s="4355"/>
      <c r="AK183" s="4355"/>
      <c r="AL183" s="4355"/>
      <c r="AM183" s="4355"/>
      <c r="AN183" s="4355"/>
      <c r="AO183" s="4355"/>
      <c r="AP183" s="4355"/>
      <c r="AQ183" s="4355"/>
      <c r="AR183" s="4355"/>
      <c r="AS183" s="4355"/>
      <c r="AT183" s="4356"/>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2">
        <f t="shared" si="94"/>
        <v>0</v>
      </c>
      <c r="H184" s="4353">
        <f t="shared" si="95"/>
        <v>0</v>
      </c>
      <c r="I184" s="4354"/>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03">
        <f t="shared" si="96"/>
        <v>0</v>
      </c>
      <c r="AD184" s="4355"/>
      <c r="AE184" s="4355"/>
      <c r="AF184" s="4355"/>
      <c r="AG184" s="4355"/>
      <c r="AH184" s="4355"/>
      <c r="AI184" s="4355"/>
      <c r="AJ184" s="4355"/>
      <c r="AK184" s="4355"/>
      <c r="AL184" s="4355"/>
      <c r="AM184" s="4355"/>
      <c r="AN184" s="4355"/>
      <c r="AO184" s="4355"/>
      <c r="AP184" s="4355"/>
      <c r="AQ184" s="4355"/>
      <c r="AR184" s="4355"/>
      <c r="AS184" s="4355"/>
      <c r="AT184" s="4356"/>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2">
        <f t="shared" si="94"/>
        <v>0</v>
      </c>
      <c r="H185" s="4353">
        <f t="shared" si="95"/>
        <v>0</v>
      </c>
      <c r="I185" s="4354"/>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03">
        <f t="shared" si="96"/>
        <v>0</v>
      </c>
      <c r="AD185" s="4355"/>
      <c r="AE185" s="4355"/>
      <c r="AF185" s="4355"/>
      <c r="AG185" s="4355"/>
      <c r="AH185" s="4355"/>
      <c r="AI185" s="4355"/>
      <c r="AJ185" s="4355"/>
      <c r="AK185" s="4355"/>
      <c r="AL185" s="4355"/>
      <c r="AM185" s="4355"/>
      <c r="AN185" s="4355"/>
      <c r="AO185" s="4355"/>
      <c r="AP185" s="4355"/>
      <c r="AQ185" s="4355"/>
      <c r="AR185" s="4355"/>
      <c r="AS185" s="4355"/>
      <c r="AT185" s="4356"/>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2">
        <f t="shared" si="94"/>
        <v>0</v>
      </c>
      <c r="H186" s="4353">
        <f t="shared" si="95"/>
        <v>0</v>
      </c>
      <c r="I186" s="4354"/>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03">
        <f t="shared" si="96"/>
        <v>0</v>
      </c>
      <c r="AD186" s="4355"/>
      <c r="AE186" s="4355"/>
      <c r="AF186" s="4355"/>
      <c r="AG186" s="4355"/>
      <c r="AH186" s="4355"/>
      <c r="AI186" s="4355"/>
      <c r="AJ186" s="4355"/>
      <c r="AK186" s="4355"/>
      <c r="AL186" s="4355"/>
      <c r="AM186" s="4355"/>
      <c r="AN186" s="4355"/>
      <c r="AO186" s="4355"/>
      <c r="AP186" s="4355"/>
      <c r="AQ186" s="4355"/>
      <c r="AR186" s="4355"/>
      <c r="AS186" s="4355"/>
      <c r="AT186" s="4356"/>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2">
        <f t="shared" si="94"/>
        <v>0</v>
      </c>
      <c r="H187" s="4353">
        <f t="shared" si="95"/>
        <v>0</v>
      </c>
      <c r="I187" s="4354"/>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03">
        <f t="shared" si="96"/>
        <v>0</v>
      </c>
      <c r="AD187" s="4355"/>
      <c r="AE187" s="4355"/>
      <c r="AF187" s="4355"/>
      <c r="AG187" s="4355"/>
      <c r="AH187" s="4355"/>
      <c r="AI187" s="4355"/>
      <c r="AJ187" s="4355"/>
      <c r="AK187" s="4355"/>
      <c r="AL187" s="4355"/>
      <c r="AM187" s="4355"/>
      <c r="AN187" s="4355"/>
      <c r="AO187" s="4355"/>
      <c r="AP187" s="4355"/>
      <c r="AQ187" s="4355"/>
      <c r="AR187" s="4355"/>
      <c r="AS187" s="4355"/>
      <c r="AT187" s="4356"/>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2">
        <f t="shared" si="94"/>
        <v>0</v>
      </c>
      <c r="H188" s="4353">
        <f t="shared" si="95"/>
        <v>0</v>
      </c>
      <c r="I188" s="4354"/>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03">
        <f t="shared" si="96"/>
        <v>0</v>
      </c>
      <c r="AD188" s="4355"/>
      <c r="AE188" s="4355"/>
      <c r="AF188" s="4355"/>
      <c r="AG188" s="4355"/>
      <c r="AH188" s="4355"/>
      <c r="AI188" s="4355"/>
      <c r="AJ188" s="4355"/>
      <c r="AK188" s="4355"/>
      <c r="AL188" s="4355"/>
      <c r="AM188" s="4355"/>
      <c r="AN188" s="4355"/>
      <c r="AO188" s="4355"/>
      <c r="AP188" s="4355"/>
      <c r="AQ188" s="4355"/>
      <c r="AR188" s="4355"/>
      <c r="AS188" s="4355"/>
      <c r="AT188" s="4356"/>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2">
        <f t="shared" si="94"/>
        <v>0</v>
      </c>
      <c r="H189" s="4353">
        <f t="shared" si="95"/>
        <v>0</v>
      </c>
      <c r="I189" s="4354"/>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03">
        <f t="shared" si="96"/>
        <v>0</v>
      </c>
      <c r="AD189" s="4355"/>
      <c r="AE189" s="4355"/>
      <c r="AF189" s="4355"/>
      <c r="AG189" s="4355"/>
      <c r="AH189" s="4355"/>
      <c r="AI189" s="4355"/>
      <c r="AJ189" s="4355"/>
      <c r="AK189" s="4355"/>
      <c r="AL189" s="4355"/>
      <c r="AM189" s="4355"/>
      <c r="AN189" s="4355"/>
      <c r="AO189" s="4355"/>
      <c r="AP189" s="4355"/>
      <c r="AQ189" s="4355"/>
      <c r="AR189" s="4355"/>
      <c r="AS189" s="4355"/>
      <c r="AT189" s="4356"/>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2">
        <f t="shared" si="94"/>
        <v>0</v>
      </c>
      <c r="H190" s="4353">
        <f t="shared" si="95"/>
        <v>0</v>
      </c>
      <c r="I190" s="4354"/>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03">
        <f t="shared" si="96"/>
        <v>0</v>
      </c>
      <c r="AD190" s="4355"/>
      <c r="AE190" s="4355"/>
      <c r="AF190" s="4355"/>
      <c r="AG190" s="4355"/>
      <c r="AH190" s="4355"/>
      <c r="AI190" s="4355"/>
      <c r="AJ190" s="4355"/>
      <c r="AK190" s="4355"/>
      <c r="AL190" s="4355"/>
      <c r="AM190" s="4355"/>
      <c r="AN190" s="4355"/>
      <c r="AO190" s="4355"/>
      <c r="AP190" s="4355"/>
      <c r="AQ190" s="4355"/>
      <c r="AR190" s="4355"/>
      <c r="AS190" s="4355"/>
      <c r="AT190" s="4356"/>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2">
        <f t="shared" si="94"/>
        <v>0</v>
      </c>
      <c r="H191" s="4353">
        <f t="shared" si="95"/>
        <v>0</v>
      </c>
      <c r="I191" s="4354"/>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03">
        <f t="shared" si="96"/>
        <v>0</v>
      </c>
      <c r="AD191" s="4355"/>
      <c r="AE191" s="4355"/>
      <c r="AF191" s="4355"/>
      <c r="AG191" s="4355"/>
      <c r="AH191" s="4355"/>
      <c r="AI191" s="4355"/>
      <c r="AJ191" s="4355"/>
      <c r="AK191" s="4355"/>
      <c r="AL191" s="4355"/>
      <c r="AM191" s="4355"/>
      <c r="AN191" s="4355"/>
      <c r="AO191" s="4355"/>
      <c r="AP191" s="4355"/>
      <c r="AQ191" s="4355"/>
      <c r="AR191" s="4355"/>
      <c r="AS191" s="4355"/>
      <c r="AT191" s="4356"/>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2">
        <f t="shared" si="94"/>
        <v>0</v>
      </c>
      <c r="H192" s="4353">
        <f t="shared" si="95"/>
        <v>0</v>
      </c>
      <c r="I192" s="4354"/>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03">
        <f t="shared" si="96"/>
        <v>0</v>
      </c>
      <c r="AD192" s="4355"/>
      <c r="AE192" s="4355"/>
      <c r="AF192" s="4355"/>
      <c r="AG192" s="4355"/>
      <c r="AH192" s="4355"/>
      <c r="AI192" s="4355"/>
      <c r="AJ192" s="4355"/>
      <c r="AK192" s="4355"/>
      <c r="AL192" s="4355"/>
      <c r="AM192" s="4355"/>
      <c r="AN192" s="4355"/>
      <c r="AO192" s="4355"/>
      <c r="AP192" s="4355"/>
      <c r="AQ192" s="4355"/>
      <c r="AR192" s="4355"/>
      <c r="AS192" s="4355"/>
      <c r="AT192" s="4356"/>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2">
        <f t="shared" si="94"/>
        <v>0</v>
      </c>
      <c r="H193" s="4353">
        <f t="shared" si="95"/>
        <v>0</v>
      </c>
      <c r="I193" s="4354"/>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03">
        <f t="shared" si="96"/>
        <v>0</v>
      </c>
      <c r="AD193" s="4355"/>
      <c r="AE193" s="4355"/>
      <c r="AF193" s="4355"/>
      <c r="AG193" s="4355"/>
      <c r="AH193" s="4355"/>
      <c r="AI193" s="4355"/>
      <c r="AJ193" s="4355"/>
      <c r="AK193" s="4355"/>
      <c r="AL193" s="4355"/>
      <c r="AM193" s="4355"/>
      <c r="AN193" s="4355"/>
      <c r="AO193" s="4355"/>
      <c r="AP193" s="4355"/>
      <c r="AQ193" s="4355"/>
      <c r="AR193" s="4355"/>
      <c r="AS193" s="4355"/>
      <c r="AT193" s="4356"/>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2">
        <f t="shared" si="94"/>
        <v>0</v>
      </c>
      <c r="H194" s="4353">
        <f t="shared" si="95"/>
        <v>0</v>
      </c>
      <c r="I194" s="4354"/>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03">
        <f t="shared" si="96"/>
        <v>0</v>
      </c>
      <c r="AD194" s="4355"/>
      <c r="AE194" s="4355"/>
      <c r="AF194" s="4355"/>
      <c r="AG194" s="4355"/>
      <c r="AH194" s="4355"/>
      <c r="AI194" s="4355"/>
      <c r="AJ194" s="4355"/>
      <c r="AK194" s="4355"/>
      <c r="AL194" s="4355"/>
      <c r="AM194" s="4355"/>
      <c r="AN194" s="4355"/>
      <c r="AO194" s="4355"/>
      <c r="AP194" s="4355"/>
      <c r="AQ194" s="4355"/>
      <c r="AR194" s="4355"/>
      <c r="AS194" s="4355"/>
      <c r="AT194" s="4356"/>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2">
        <f t="shared" si="94"/>
        <v>0</v>
      </c>
      <c r="H195" s="4353">
        <f t="shared" si="95"/>
        <v>0</v>
      </c>
      <c r="I195" s="4354"/>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03">
        <f t="shared" si="96"/>
        <v>0</v>
      </c>
      <c r="AD195" s="4355"/>
      <c r="AE195" s="4355"/>
      <c r="AF195" s="4355"/>
      <c r="AG195" s="4355"/>
      <c r="AH195" s="4355"/>
      <c r="AI195" s="4355"/>
      <c r="AJ195" s="4355"/>
      <c r="AK195" s="4355"/>
      <c r="AL195" s="4355"/>
      <c r="AM195" s="4355"/>
      <c r="AN195" s="4355"/>
      <c r="AO195" s="4355"/>
      <c r="AP195" s="4355"/>
      <c r="AQ195" s="4355"/>
      <c r="AR195" s="4355"/>
      <c r="AS195" s="4355"/>
      <c r="AT195" s="4356"/>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2">
        <f t="shared" si="94"/>
        <v>0</v>
      </c>
      <c r="H196" s="4353">
        <f t="shared" si="95"/>
        <v>0</v>
      </c>
      <c r="I196" s="4354"/>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03">
        <f t="shared" si="96"/>
        <v>0</v>
      </c>
      <c r="AD196" s="4355"/>
      <c r="AE196" s="4355"/>
      <c r="AF196" s="4355"/>
      <c r="AG196" s="4355"/>
      <c r="AH196" s="4355"/>
      <c r="AI196" s="4355"/>
      <c r="AJ196" s="4355"/>
      <c r="AK196" s="4355"/>
      <c r="AL196" s="4355"/>
      <c r="AM196" s="4355"/>
      <c r="AN196" s="4355"/>
      <c r="AO196" s="4355"/>
      <c r="AP196" s="4355"/>
      <c r="AQ196" s="4355"/>
      <c r="AR196" s="4355"/>
      <c r="AS196" s="4355"/>
      <c r="AT196" s="4356"/>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2">
        <f t="shared" si="94"/>
        <v>0</v>
      </c>
      <c r="H197" s="4353">
        <f t="shared" si="95"/>
        <v>0</v>
      </c>
      <c r="I197" s="4354"/>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03">
        <f t="shared" si="96"/>
        <v>0</v>
      </c>
      <c r="AD197" s="4355"/>
      <c r="AE197" s="4355"/>
      <c r="AF197" s="4355"/>
      <c r="AG197" s="4355"/>
      <c r="AH197" s="4355"/>
      <c r="AI197" s="4355"/>
      <c r="AJ197" s="4355"/>
      <c r="AK197" s="4355"/>
      <c r="AL197" s="4355"/>
      <c r="AM197" s="4355"/>
      <c r="AN197" s="4355"/>
      <c r="AO197" s="4355"/>
      <c r="AP197" s="4355"/>
      <c r="AQ197" s="4355"/>
      <c r="AR197" s="4355"/>
      <c r="AS197" s="4355"/>
      <c r="AT197" s="4356"/>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2">
        <f t="shared" si="94"/>
        <v>0</v>
      </c>
      <c r="H198" s="4353">
        <f t="shared" si="95"/>
        <v>0</v>
      </c>
      <c r="I198" s="4354"/>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03">
        <f t="shared" si="96"/>
        <v>0</v>
      </c>
      <c r="AD198" s="4355"/>
      <c r="AE198" s="4355"/>
      <c r="AF198" s="4355"/>
      <c r="AG198" s="4355"/>
      <c r="AH198" s="4355"/>
      <c r="AI198" s="4355"/>
      <c r="AJ198" s="4355"/>
      <c r="AK198" s="4355"/>
      <c r="AL198" s="4355"/>
      <c r="AM198" s="4355"/>
      <c r="AN198" s="4355"/>
      <c r="AO198" s="4355"/>
      <c r="AP198" s="4355"/>
      <c r="AQ198" s="4355"/>
      <c r="AR198" s="4355"/>
      <c r="AS198" s="4355"/>
      <c r="AT198" s="4356"/>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2">
        <f t="shared" si="94"/>
        <v>0</v>
      </c>
      <c r="H199" s="4353">
        <f t="shared" si="95"/>
        <v>0</v>
      </c>
      <c r="I199" s="4354"/>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03">
        <f t="shared" si="96"/>
        <v>0</v>
      </c>
      <c r="AD199" s="4355"/>
      <c r="AE199" s="4355"/>
      <c r="AF199" s="4355"/>
      <c r="AG199" s="4355"/>
      <c r="AH199" s="4355"/>
      <c r="AI199" s="4355"/>
      <c r="AJ199" s="4355"/>
      <c r="AK199" s="4355"/>
      <c r="AL199" s="4355"/>
      <c r="AM199" s="4355"/>
      <c r="AN199" s="4355"/>
      <c r="AO199" s="4355"/>
      <c r="AP199" s="4355"/>
      <c r="AQ199" s="4355"/>
      <c r="AR199" s="4355"/>
      <c r="AS199" s="4355"/>
      <c r="AT199" s="4356"/>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2">
        <f t="shared" si="94"/>
        <v>0</v>
      </c>
      <c r="H200" s="4353">
        <f t="shared" si="95"/>
        <v>0</v>
      </c>
      <c r="I200" s="4354"/>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03">
        <f t="shared" si="96"/>
        <v>0</v>
      </c>
      <c r="AD200" s="4355"/>
      <c r="AE200" s="4355"/>
      <c r="AF200" s="4355"/>
      <c r="AG200" s="4355"/>
      <c r="AH200" s="4355"/>
      <c r="AI200" s="4355"/>
      <c r="AJ200" s="4355"/>
      <c r="AK200" s="4355"/>
      <c r="AL200" s="4355"/>
      <c r="AM200" s="4355"/>
      <c r="AN200" s="4355"/>
      <c r="AO200" s="4355"/>
      <c r="AP200" s="4355"/>
      <c r="AQ200" s="4355"/>
      <c r="AR200" s="4355"/>
      <c r="AS200" s="4355"/>
      <c r="AT200" s="4356"/>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2">
        <f t="shared" si="94"/>
        <v>0</v>
      </c>
      <c r="H201" s="4353">
        <f t="shared" si="95"/>
        <v>0</v>
      </c>
      <c r="I201" s="4354"/>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03">
        <f t="shared" si="96"/>
        <v>0</v>
      </c>
      <c r="AD201" s="4355"/>
      <c r="AE201" s="4355"/>
      <c r="AF201" s="4355"/>
      <c r="AG201" s="4355"/>
      <c r="AH201" s="4355"/>
      <c r="AI201" s="4355"/>
      <c r="AJ201" s="4355"/>
      <c r="AK201" s="4355"/>
      <c r="AL201" s="4355"/>
      <c r="AM201" s="4355"/>
      <c r="AN201" s="4355"/>
      <c r="AO201" s="4355"/>
      <c r="AP201" s="4355"/>
      <c r="AQ201" s="4355"/>
      <c r="AR201" s="4355"/>
      <c r="AS201" s="4355"/>
      <c r="AT201" s="4356"/>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2">
        <f t="shared" si="94"/>
        <v>0</v>
      </c>
      <c r="H202" s="4353">
        <f t="shared" si="95"/>
        <v>0</v>
      </c>
      <c r="I202" s="4354"/>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03">
        <f t="shared" si="96"/>
        <v>0</v>
      </c>
      <c r="AD202" s="4355"/>
      <c r="AE202" s="4355"/>
      <c r="AF202" s="4355"/>
      <c r="AG202" s="4355"/>
      <c r="AH202" s="4355"/>
      <c r="AI202" s="4355"/>
      <c r="AJ202" s="4355"/>
      <c r="AK202" s="4355"/>
      <c r="AL202" s="4355"/>
      <c r="AM202" s="4355"/>
      <c r="AN202" s="4355"/>
      <c r="AO202" s="4355"/>
      <c r="AP202" s="4355"/>
      <c r="AQ202" s="4355"/>
      <c r="AR202" s="4355"/>
      <c r="AS202" s="4355"/>
      <c r="AT202" s="4356"/>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2">
        <f t="shared" si="94"/>
        <v>0</v>
      </c>
      <c r="H203" s="4353">
        <f t="shared" si="95"/>
        <v>0</v>
      </c>
      <c r="I203" s="4354"/>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03">
        <f t="shared" si="96"/>
        <v>0</v>
      </c>
      <c r="AD203" s="4355"/>
      <c r="AE203" s="4355"/>
      <c r="AF203" s="4355"/>
      <c r="AG203" s="4355"/>
      <c r="AH203" s="4355"/>
      <c r="AI203" s="4355"/>
      <c r="AJ203" s="4355"/>
      <c r="AK203" s="4355"/>
      <c r="AL203" s="4355"/>
      <c r="AM203" s="4355"/>
      <c r="AN203" s="4355"/>
      <c r="AO203" s="4355"/>
      <c r="AP203" s="4355"/>
      <c r="AQ203" s="4355"/>
      <c r="AR203" s="4355"/>
      <c r="AS203" s="4355"/>
      <c r="AT203" s="4356"/>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2">
        <f t="shared" si="94"/>
        <v>0</v>
      </c>
      <c r="H204" s="4353">
        <f t="shared" si="95"/>
        <v>0</v>
      </c>
      <c r="I204" s="4354"/>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03">
        <f t="shared" si="96"/>
        <v>0</v>
      </c>
      <c r="AD204" s="4355"/>
      <c r="AE204" s="4355"/>
      <c r="AF204" s="4355"/>
      <c r="AG204" s="4355"/>
      <c r="AH204" s="4355"/>
      <c r="AI204" s="4355"/>
      <c r="AJ204" s="4355"/>
      <c r="AK204" s="4355"/>
      <c r="AL204" s="4355"/>
      <c r="AM204" s="4355"/>
      <c r="AN204" s="4355"/>
      <c r="AO204" s="4355"/>
      <c r="AP204" s="4355"/>
      <c r="AQ204" s="4355"/>
      <c r="AR204" s="4355"/>
      <c r="AS204" s="4355"/>
      <c r="AT204" s="4356"/>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2">
        <f t="shared" si="94"/>
        <v>0</v>
      </c>
      <c r="H205" s="4353">
        <f t="shared" si="95"/>
        <v>0</v>
      </c>
      <c r="I205" s="4354"/>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03">
        <f t="shared" si="96"/>
        <v>0</v>
      </c>
      <c r="AD205" s="4355"/>
      <c r="AE205" s="4355"/>
      <c r="AF205" s="4355"/>
      <c r="AG205" s="4355"/>
      <c r="AH205" s="4355"/>
      <c r="AI205" s="4355"/>
      <c r="AJ205" s="4355"/>
      <c r="AK205" s="4355"/>
      <c r="AL205" s="4355"/>
      <c r="AM205" s="4355"/>
      <c r="AN205" s="4355"/>
      <c r="AO205" s="4355"/>
      <c r="AP205" s="4355"/>
      <c r="AQ205" s="4355"/>
      <c r="AR205" s="4355"/>
      <c r="AS205" s="4355"/>
      <c r="AT205" s="4355"/>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2">
        <f>H206+AC206+AT206</f>
        <v>0</v>
      </c>
      <c r="H206" s="4353">
        <f>SUMIF(I$12:AB$12,"总值",I206:AB206)</f>
        <v>0</v>
      </c>
      <c r="I206" s="4354"/>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03">
        <f>SUMIF(AD$12:AS$12,"总值",AD206:AS206)</f>
        <v>0</v>
      </c>
      <c r="AD206" s="4355"/>
      <c r="AE206" s="4355"/>
      <c r="AF206" s="4355"/>
      <c r="AG206" s="4355"/>
      <c r="AH206" s="4355"/>
      <c r="AI206" s="4355"/>
      <c r="AJ206" s="4355"/>
      <c r="AK206" s="4355"/>
      <c r="AL206" s="4355"/>
      <c r="AM206" s="4355"/>
      <c r="AN206" s="4355"/>
      <c r="AO206" s="4355"/>
      <c r="AP206" s="4355"/>
      <c r="AQ206" s="4355"/>
      <c r="AR206" s="4355"/>
      <c r="AS206" s="4355"/>
      <c r="AT206" s="4355"/>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2">
        <f>H207+AC207+AT207</f>
        <v>0</v>
      </c>
      <c r="H207" s="4353">
        <f>SUMIF(I$12:AB$12,"总值",I207:AB207)</f>
        <v>0</v>
      </c>
      <c r="I207" s="4354"/>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03">
        <f>SUMIF(AD$12:AS$12,"总值",AD207:AS207)</f>
        <v>0</v>
      </c>
      <c r="AD207" s="4355"/>
      <c r="AE207" s="4355"/>
      <c r="AF207" s="4355"/>
      <c r="AG207" s="4355"/>
      <c r="AH207" s="4355"/>
      <c r="AI207" s="4355"/>
      <c r="AJ207" s="4355"/>
      <c r="AK207" s="4355"/>
      <c r="AL207" s="4355"/>
      <c r="AM207" s="4355"/>
      <c r="AN207" s="4355"/>
      <c r="AO207" s="4355"/>
      <c r="AP207" s="4355"/>
      <c r="AQ207" s="4355"/>
      <c r="AR207" s="4355"/>
      <c r="AS207" s="4355"/>
      <c r="AT207" s="4355"/>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2">
        <f t="shared" ref="G208:G299" si="124">H208+AC208+AT208</f>
        <v>0</v>
      </c>
      <c r="H208" s="4353">
        <f t="shared" ref="H208:H299" si="125">SUMIF(I$12:AB$12,"总值",I208:AB208)</f>
        <v>0</v>
      </c>
      <c r="I208" s="4354"/>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03">
        <f t="shared" ref="AC208:AC299" si="126">SUMIF(AD$12:AS$12,"总值",AD208:AS208)</f>
        <v>0</v>
      </c>
      <c r="AD208" s="4355"/>
      <c r="AE208" s="4355"/>
      <c r="AF208" s="4355"/>
      <c r="AG208" s="4355"/>
      <c r="AH208" s="4355"/>
      <c r="AI208" s="4355"/>
      <c r="AJ208" s="4355"/>
      <c r="AK208" s="4355"/>
      <c r="AL208" s="4355"/>
      <c r="AM208" s="4355"/>
      <c r="AN208" s="4355"/>
      <c r="AO208" s="4355"/>
      <c r="AP208" s="4355"/>
      <c r="AQ208" s="4355"/>
      <c r="AR208" s="4355"/>
      <c r="AS208" s="4355"/>
      <c r="AT208" s="4356"/>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2">
        <f t="shared" si="124"/>
        <v>0</v>
      </c>
      <c r="H209" s="4353">
        <f t="shared" si="125"/>
        <v>0</v>
      </c>
      <c r="I209" s="4354"/>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03">
        <f t="shared" si="126"/>
        <v>0</v>
      </c>
      <c r="AD209" s="4355"/>
      <c r="AE209" s="4355"/>
      <c r="AF209" s="4355"/>
      <c r="AG209" s="4355"/>
      <c r="AH209" s="4355"/>
      <c r="AI209" s="4355"/>
      <c r="AJ209" s="4355"/>
      <c r="AK209" s="4355"/>
      <c r="AL209" s="4355"/>
      <c r="AM209" s="4355"/>
      <c r="AN209" s="4355"/>
      <c r="AO209" s="4355"/>
      <c r="AP209" s="4355"/>
      <c r="AQ209" s="4355"/>
      <c r="AR209" s="4355"/>
      <c r="AS209" s="4355"/>
      <c r="AT209" s="4356"/>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2">
        <f t="shared" si="124"/>
        <v>0</v>
      </c>
      <c r="H210" s="4353">
        <f t="shared" si="125"/>
        <v>0</v>
      </c>
      <c r="I210" s="4354"/>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03">
        <f t="shared" si="126"/>
        <v>0</v>
      </c>
      <c r="AD210" s="4355"/>
      <c r="AE210" s="4355"/>
      <c r="AF210" s="4355"/>
      <c r="AG210" s="4355"/>
      <c r="AH210" s="4355"/>
      <c r="AI210" s="4355"/>
      <c r="AJ210" s="4355"/>
      <c r="AK210" s="4355"/>
      <c r="AL210" s="4355"/>
      <c r="AM210" s="4355"/>
      <c r="AN210" s="4355"/>
      <c r="AO210" s="4355"/>
      <c r="AP210" s="4355"/>
      <c r="AQ210" s="4355"/>
      <c r="AR210" s="4355"/>
      <c r="AS210" s="4355"/>
      <c r="AT210" s="4356"/>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2">
        <f t="shared" si="124"/>
        <v>0</v>
      </c>
      <c r="H211" s="4353">
        <f t="shared" si="125"/>
        <v>0</v>
      </c>
      <c r="I211" s="4354"/>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03">
        <f t="shared" si="126"/>
        <v>0</v>
      </c>
      <c r="AD211" s="4355"/>
      <c r="AE211" s="4355"/>
      <c r="AF211" s="4355"/>
      <c r="AG211" s="4355"/>
      <c r="AH211" s="4355"/>
      <c r="AI211" s="4355"/>
      <c r="AJ211" s="4355"/>
      <c r="AK211" s="4355"/>
      <c r="AL211" s="4355"/>
      <c r="AM211" s="4355"/>
      <c r="AN211" s="4355"/>
      <c r="AO211" s="4355"/>
      <c r="AP211" s="4355"/>
      <c r="AQ211" s="4355"/>
      <c r="AR211" s="4355"/>
      <c r="AS211" s="4355"/>
      <c r="AT211" s="4356"/>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2">
        <f t="shared" si="124"/>
        <v>0</v>
      </c>
      <c r="H212" s="4353">
        <f t="shared" si="125"/>
        <v>0</v>
      </c>
      <c r="I212" s="4354"/>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03">
        <f t="shared" si="126"/>
        <v>0</v>
      </c>
      <c r="AD212" s="4355"/>
      <c r="AE212" s="4355"/>
      <c r="AF212" s="4355"/>
      <c r="AG212" s="4355"/>
      <c r="AH212" s="4355"/>
      <c r="AI212" s="4355"/>
      <c r="AJ212" s="4355"/>
      <c r="AK212" s="4355"/>
      <c r="AL212" s="4355"/>
      <c r="AM212" s="4355"/>
      <c r="AN212" s="4355"/>
      <c r="AO212" s="4355"/>
      <c r="AP212" s="4355"/>
      <c r="AQ212" s="4355"/>
      <c r="AR212" s="4355"/>
      <c r="AS212" s="4355"/>
      <c r="AT212" s="4356"/>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2">
        <f t="shared" si="124"/>
        <v>0</v>
      </c>
      <c r="H213" s="4353">
        <f t="shared" si="125"/>
        <v>0</v>
      </c>
      <c r="I213" s="4354"/>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03">
        <f t="shared" si="126"/>
        <v>0</v>
      </c>
      <c r="AD213" s="4355"/>
      <c r="AE213" s="4355"/>
      <c r="AF213" s="4355"/>
      <c r="AG213" s="4355"/>
      <c r="AH213" s="4355"/>
      <c r="AI213" s="4355"/>
      <c r="AJ213" s="4355"/>
      <c r="AK213" s="4355"/>
      <c r="AL213" s="4355"/>
      <c r="AM213" s="4355"/>
      <c r="AN213" s="4355"/>
      <c r="AO213" s="4355"/>
      <c r="AP213" s="4355"/>
      <c r="AQ213" s="4355"/>
      <c r="AR213" s="4355"/>
      <c r="AS213" s="4355"/>
      <c r="AT213" s="4356"/>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2">
        <f t="shared" si="124"/>
        <v>0</v>
      </c>
      <c r="H214" s="4353">
        <f t="shared" si="125"/>
        <v>0</v>
      </c>
      <c r="I214" s="4354"/>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03">
        <f t="shared" si="126"/>
        <v>0</v>
      </c>
      <c r="AD214" s="4355"/>
      <c r="AE214" s="4355"/>
      <c r="AF214" s="4355"/>
      <c r="AG214" s="4355"/>
      <c r="AH214" s="4355"/>
      <c r="AI214" s="4355"/>
      <c r="AJ214" s="4355"/>
      <c r="AK214" s="4355"/>
      <c r="AL214" s="4355"/>
      <c r="AM214" s="4355"/>
      <c r="AN214" s="4355"/>
      <c r="AO214" s="4355"/>
      <c r="AP214" s="4355"/>
      <c r="AQ214" s="4355"/>
      <c r="AR214" s="4355"/>
      <c r="AS214" s="4355"/>
      <c r="AT214" s="4356"/>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2">
        <f t="shared" si="124"/>
        <v>0</v>
      </c>
      <c r="H215" s="4353">
        <f t="shared" si="125"/>
        <v>0</v>
      </c>
      <c r="I215" s="4354"/>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03">
        <f t="shared" si="126"/>
        <v>0</v>
      </c>
      <c r="AD215" s="4355"/>
      <c r="AE215" s="4355"/>
      <c r="AF215" s="4355"/>
      <c r="AG215" s="4355"/>
      <c r="AH215" s="4355"/>
      <c r="AI215" s="4355"/>
      <c r="AJ215" s="4355"/>
      <c r="AK215" s="4355"/>
      <c r="AL215" s="4355"/>
      <c r="AM215" s="4355"/>
      <c r="AN215" s="4355"/>
      <c r="AO215" s="4355"/>
      <c r="AP215" s="4355"/>
      <c r="AQ215" s="4355"/>
      <c r="AR215" s="4355"/>
      <c r="AS215" s="4355"/>
      <c r="AT215" s="4356"/>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2">
        <f t="shared" si="124"/>
        <v>0</v>
      </c>
      <c r="H216" s="4353">
        <f t="shared" si="125"/>
        <v>0</v>
      </c>
      <c r="I216" s="4354"/>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03">
        <f t="shared" si="126"/>
        <v>0</v>
      </c>
      <c r="AD216" s="4355"/>
      <c r="AE216" s="4355"/>
      <c r="AF216" s="4355"/>
      <c r="AG216" s="4355"/>
      <c r="AH216" s="4355"/>
      <c r="AI216" s="4355"/>
      <c r="AJ216" s="4355"/>
      <c r="AK216" s="4355"/>
      <c r="AL216" s="4355"/>
      <c r="AM216" s="4355"/>
      <c r="AN216" s="4355"/>
      <c r="AO216" s="4355"/>
      <c r="AP216" s="4355"/>
      <c r="AQ216" s="4355"/>
      <c r="AR216" s="4355"/>
      <c r="AS216" s="4355"/>
      <c r="AT216" s="4356"/>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2">
        <f t="shared" si="124"/>
        <v>0</v>
      </c>
      <c r="H217" s="4353">
        <f t="shared" si="125"/>
        <v>0</v>
      </c>
      <c r="I217" s="4354"/>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03">
        <f t="shared" si="126"/>
        <v>0</v>
      </c>
      <c r="AD217" s="4355"/>
      <c r="AE217" s="4355"/>
      <c r="AF217" s="4355"/>
      <c r="AG217" s="4355"/>
      <c r="AH217" s="4355"/>
      <c r="AI217" s="4355"/>
      <c r="AJ217" s="4355"/>
      <c r="AK217" s="4355"/>
      <c r="AL217" s="4355"/>
      <c r="AM217" s="4355"/>
      <c r="AN217" s="4355"/>
      <c r="AO217" s="4355"/>
      <c r="AP217" s="4355"/>
      <c r="AQ217" s="4355"/>
      <c r="AR217" s="4355"/>
      <c r="AS217" s="4355"/>
      <c r="AT217" s="4356"/>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2">
        <f t="shared" si="124"/>
        <v>0</v>
      </c>
      <c r="H218" s="4353">
        <f t="shared" si="125"/>
        <v>0</v>
      </c>
      <c r="I218" s="4354"/>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03">
        <f t="shared" si="126"/>
        <v>0</v>
      </c>
      <c r="AD218" s="4355"/>
      <c r="AE218" s="4355"/>
      <c r="AF218" s="4355"/>
      <c r="AG218" s="4355"/>
      <c r="AH218" s="4355"/>
      <c r="AI218" s="4355"/>
      <c r="AJ218" s="4355"/>
      <c r="AK218" s="4355"/>
      <c r="AL218" s="4355"/>
      <c r="AM218" s="4355"/>
      <c r="AN218" s="4355"/>
      <c r="AO218" s="4355"/>
      <c r="AP218" s="4355"/>
      <c r="AQ218" s="4355"/>
      <c r="AR218" s="4355"/>
      <c r="AS218" s="4355"/>
      <c r="AT218" s="4356"/>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2">
        <f t="shared" si="124"/>
        <v>0</v>
      </c>
      <c r="H219" s="4353">
        <f t="shared" si="125"/>
        <v>0</v>
      </c>
      <c r="I219" s="4354"/>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03">
        <f t="shared" si="126"/>
        <v>0</v>
      </c>
      <c r="AD219" s="4355"/>
      <c r="AE219" s="4355"/>
      <c r="AF219" s="4355"/>
      <c r="AG219" s="4355"/>
      <c r="AH219" s="4355"/>
      <c r="AI219" s="4355"/>
      <c r="AJ219" s="4355"/>
      <c r="AK219" s="4355"/>
      <c r="AL219" s="4355"/>
      <c r="AM219" s="4355"/>
      <c r="AN219" s="4355"/>
      <c r="AO219" s="4355"/>
      <c r="AP219" s="4355"/>
      <c r="AQ219" s="4355"/>
      <c r="AR219" s="4355"/>
      <c r="AS219" s="4355"/>
      <c r="AT219" s="4356"/>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2">
        <f t="shared" si="124"/>
        <v>0</v>
      </c>
      <c r="H220" s="4353">
        <f t="shared" si="125"/>
        <v>0</v>
      </c>
      <c r="I220" s="4354"/>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03">
        <f t="shared" si="126"/>
        <v>0</v>
      </c>
      <c r="AD220" s="4355"/>
      <c r="AE220" s="4355"/>
      <c r="AF220" s="4355"/>
      <c r="AG220" s="4355"/>
      <c r="AH220" s="4355"/>
      <c r="AI220" s="4355"/>
      <c r="AJ220" s="4355"/>
      <c r="AK220" s="4355"/>
      <c r="AL220" s="4355"/>
      <c r="AM220" s="4355"/>
      <c r="AN220" s="4355"/>
      <c r="AO220" s="4355"/>
      <c r="AP220" s="4355"/>
      <c r="AQ220" s="4355"/>
      <c r="AR220" s="4355"/>
      <c r="AS220" s="4355"/>
      <c r="AT220" s="4356"/>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2">
        <f t="shared" si="124"/>
        <v>0</v>
      </c>
      <c r="H221" s="4353">
        <f t="shared" si="125"/>
        <v>0</v>
      </c>
      <c r="I221" s="4354"/>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03">
        <f t="shared" si="126"/>
        <v>0</v>
      </c>
      <c r="AD221" s="4355"/>
      <c r="AE221" s="4355"/>
      <c r="AF221" s="4355"/>
      <c r="AG221" s="4355"/>
      <c r="AH221" s="4355"/>
      <c r="AI221" s="4355"/>
      <c r="AJ221" s="4355"/>
      <c r="AK221" s="4355"/>
      <c r="AL221" s="4355"/>
      <c r="AM221" s="4355"/>
      <c r="AN221" s="4355"/>
      <c r="AO221" s="4355"/>
      <c r="AP221" s="4355"/>
      <c r="AQ221" s="4355"/>
      <c r="AR221" s="4355"/>
      <c r="AS221" s="4355"/>
      <c r="AT221" s="4356"/>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2">
        <f t="shared" si="124"/>
        <v>0</v>
      </c>
      <c r="H222" s="4353">
        <f t="shared" si="125"/>
        <v>0</v>
      </c>
      <c r="I222" s="4354"/>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03">
        <f t="shared" si="126"/>
        <v>0</v>
      </c>
      <c r="AD222" s="4355"/>
      <c r="AE222" s="4355"/>
      <c r="AF222" s="4355"/>
      <c r="AG222" s="4355"/>
      <c r="AH222" s="4355"/>
      <c r="AI222" s="4355"/>
      <c r="AJ222" s="4355"/>
      <c r="AK222" s="4355"/>
      <c r="AL222" s="4355"/>
      <c r="AM222" s="4355"/>
      <c r="AN222" s="4355"/>
      <c r="AO222" s="4355"/>
      <c r="AP222" s="4355"/>
      <c r="AQ222" s="4355"/>
      <c r="AR222" s="4355"/>
      <c r="AS222" s="4355"/>
      <c r="AT222" s="4356"/>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2">
        <f t="shared" si="124"/>
        <v>0</v>
      </c>
      <c r="H223" s="4353">
        <f t="shared" si="125"/>
        <v>0</v>
      </c>
      <c r="I223" s="4354"/>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03">
        <f t="shared" si="126"/>
        <v>0</v>
      </c>
      <c r="AD223" s="4355"/>
      <c r="AE223" s="4355"/>
      <c r="AF223" s="4355"/>
      <c r="AG223" s="4355"/>
      <c r="AH223" s="4355"/>
      <c r="AI223" s="4355"/>
      <c r="AJ223" s="4355"/>
      <c r="AK223" s="4355"/>
      <c r="AL223" s="4355"/>
      <c r="AM223" s="4355"/>
      <c r="AN223" s="4355"/>
      <c r="AO223" s="4355"/>
      <c r="AP223" s="4355"/>
      <c r="AQ223" s="4355"/>
      <c r="AR223" s="4355"/>
      <c r="AS223" s="4355"/>
      <c r="AT223" s="4356"/>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2">
        <f t="shared" si="124"/>
        <v>0</v>
      </c>
      <c r="H224" s="4353">
        <f t="shared" si="125"/>
        <v>0</v>
      </c>
      <c r="I224" s="4354"/>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03">
        <f t="shared" si="126"/>
        <v>0</v>
      </c>
      <c r="AD224" s="4355"/>
      <c r="AE224" s="4355"/>
      <c r="AF224" s="4355"/>
      <c r="AG224" s="4355"/>
      <c r="AH224" s="4355"/>
      <c r="AI224" s="4355"/>
      <c r="AJ224" s="4355"/>
      <c r="AK224" s="4355"/>
      <c r="AL224" s="4355"/>
      <c r="AM224" s="4355"/>
      <c r="AN224" s="4355"/>
      <c r="AO224" s="4355"/>
      <c r="AP224" s="4355"/>
      <c r="AQ224" s="4355"/>
      <c r="AR224" s="4355"/>
      <c r="AS224" s="4355"/>
      <c r="AT224" s="4356"/>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2">
        <f t="shared" si="124"/>
        <v>0</v>
      </c>
      <c r="H225" s="4353">
        <f t="shared" si="125"/>
        <v>0</v>
      </c>
      <c r="I225" s="4354"/>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03">
        <f t="shared" si="126"/>
        <v>0</v>
      </c>
      <c r="AD225" s="4355"/>
      <c r="AE225" s="4355"/>
      <c r="AF225" s="4355"/>
      <c r="AG225" s="4355"/>
      <c r="AH225" s="4355"/>
      <c r="AI225" s="4355"/>
      <c r="AJ225" s="4355"/>
      <c r="AK225" s="4355"/>
      <c r="AL225" s="4355"/>
      <c r="AM225" s="4355"/>
      <c r="AN225" s="4355"/>
      <c r="AO225" s="4355"/>
      <c r="AP225" s="4355"/>
      <c r="AQ225" s="4355"/>
      <c r="AR225" s="4355"/>
      <c r="AS225" s="4355"/>
      <c r="AT225" s="4356"/>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2">
        <f t="shared" si="124"/>
        <v>0</v>
      </c>
      <c r="H226" s="4353">
        <f t="shared" si="125"/>
        <v>0</v>
      </c>
      <c r="I226" s="4354"/>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03">
        <f t="shared" si="126"/>
        <v>0</v>
      </c>
      <c r="AD226" s="4355"/>
      <c r="AE226" s="4355"/>
      <c r="AF226" s="4355"/>
      <c r="AG226" s="4355"/>
      <c r="AH226" s="4355"/>
      <c r="AI226" s="4355"/>
      <c r="AJ226" s="4355"/>
      <c r="AK226" s="4355"/>
      <c r="AL226" s="4355"/>
      <c r="AM226" s="4355"/>
      <c r="AN226" s="4355"/>
      <c r="AO226" s="4355"/>
      <c r="AP226" s="4355"/>
      <c r="AQ226" s="4355"/>
      <c r="AR226" s="4355"/>
      <c r="AS226" s="4355"/>
      <c r="AT226" s="4356"/>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2">
        <f t="shared" si="124"/>
        <v>0</v>
      </c>
      <c r="H227" s="4353">
        <f t="shared" si="125"/>
        <v>0</v>
      </c>
      <c r="I227" s="4354"/>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03">
        <f t="shared" si="126"/>
        <v>0</v>
      </c>
      <c r="AD227" s="4355"/>
      <c r="AE227" s="4355"/>
      <c r="AF227" s="4355"/>
      <c r="AG227" s="4355"/>
      <c r="AH227" s="4355"/>
      <c r="AI227" s="4355"/>
      <c r="AJ227" s="4355"/>
      <c r="AK227" s="4355"/>
      <c r="AL227" s="4355"/>
      <c r="AM227" s="4355"/>
      <c r="AN227" s="4355"/>
      <c r="AO227" s="4355"/>
      <c r="AP227" s="4355"/>
      <c r="AQ227" s="4355"/>
      <c r="AR227" s="4355"/>
      <c r="AS227" s="4355"/>
      <c r="AT227" s="4356"/>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2">
        <f t="shared" si="124"/>
        <v>0</v>
      </c>
      <c r="H228" s="4353">
        <f t="shared" si="125"/>
        <v>0</v>
      </c>
      <c r="I228" s="4354"/>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03">
        <f t="shared" si="126"/>
        <v>0</v>
      </c>
      <c r="AD228" s="4355"/>
      <c r="AE228" s="4355"/>
      <c r="AF228" s="4355"/>
      <c r="AG228" s="4355"/>
      <c r="AH228" s="4355"/>
      <c r="AI228" s="4355"/>
      <c r="AJ228" s="4355"/>
      <c r="AK228" s="4355"/>
      <c r="AL228" s="4355"/>
      <c r="AM228" s="4355"/>
      <c r="AN228" s="4355"/>
      <c r="AO228" s="4355"/>
      <c r="AP228" s="4355"/>
      <c r="AQ228" s="4355"/>
      <c r="AR228" s="4355"/>
      <c r="AS228" s="4355"/>
      <c r="AT228" s="4356"/>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2">
        <f t="shared" si="124"/>
        <v>0</v>
      </c>
      <c r="H229" s="4353">
        <f t="shared" si="125"/>
        <v>0</v>
      </c>
      <c r="I229" s="4354"/>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03">
        <f t="shared" si="126"/>
        <v>0</v>
      </c>
      <c r="AD229" s="4355"/>
      <c r="AE229" s="4355"/>
      <c r="AF229" s="4355"/>
      <c r="AG229" s="4355"/>
      <c r="AH229" s="4355"/>
      <c r="AI229" s="4355"/>
      <c r="AJ229" s="4355"/>
      <c r="AK229" s="4355"/>
      <c r="AL229" s="4355"/>
      <c r="AM229" s="4355"/>
      <c r="AN229" s="4355"/>
      <c r="AO229" s="4355"/>
      <c r="AP229" s="4355"/>
      <c r="AQ229" s="4355"/>
      <c r="AR229" s="4355"/>
      <c r="AS229" s="4355"/>
      <c r="AT229" s="4356"/>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2">
        <f t="shared" si="124"/>
        <v>0</v>
      </c>
      <c r="H230" s="4353">
        <f t="shared" si="125"/>
        <v>0</v>
      </c>
      <c r="I230" s="4354"/>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03">
        <f t="shared" si="126"/>
        <v>0</v>
      </c>
      <c r="AD230" s="4355"/>
      <c r="AE230" s="4355"/>
      <c r="AF230" s="4355"/>
      <c r="AG230" s="4355"/>
      <c r="AH230" s="4355"/>
      <c r="AI230" s="4355"/>
      <c r="AJ230" s="4355"/>
      <c r="AK230" s="4355"/>
      <c r="AL230" s="4355"/>
      <c r="AM230" s="4355"/>
      <c r="AN230" s="4355"/>
      <c r="AO230" s="4355"/>
      <c r="AP230" s="4355"/>
      <c r="AQ230" s="4355"/>
      <c r="AR230" s="4355"/>
      <c r="AS230" s="4355"/>
      <c r="AT230" s="4356"/>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2">
        <f t="shared" si="124"/>
        <v>0</v>
      </c>
      <c r="H231" s="4353">
        <f t="shared" si="125"/>
        <v>0</v>
      </c>
      <c r="I231" s="4354"/>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03">
        <f t="shared" si="126"/>
        <v>0</v>
      </c>
      <c r="AD231" s="4355"/>
      <c r="AE231" s="4355"/>
      <c r="AF231" s="4355"/>
      <c r="AG231" s="4355"/>
      <c r="AH231" s="4355"/>
      <c r="AI231" s="4355"/>
      <c r="AJ231" s="4355"/>
      <c r="AK231" s="4355"/>
      <c r="AL231" s="4355"/>
      <c r="AM231" s="4355"/>
      <c r="AN231" s="4355"/>
      <c r="AO231" s="4355"/>
      <c r="AP231" s="4355"/>
      <c r="AQ231" s="4355"/>
      <c r="AR231" s="4355"/>
      <c r="AS231" s="4355"/>
      <c r="AT231" s="4356"/>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2">
        <f t="shared" si="124"/>
        <v>0</v>
      </c>
      <c r="H232" s="4353">
        <f t="shared" si="125"/>
        <v>0</v>
      </c>
      <c r="I232" s="4354"/>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03">
        <f t="shared" si="126"/>
        <v>0</v>
      </c>
      <c r="AD232" s="4355"/>
      <c r="AE232" s="4355"/>
      <c r="AF232" s="4355"/>
      <c r="AG232" s="4355"/>
      <c r="AH232" s="4355"/>
      <c r="AI232" s="4355"/>
      <c r="AJ232" s="4355"/>
      <c r="AK232" s="4355"/>
      <c r="AL232" s="4355"/>
      <c r="AM232" s="4355"/>
      <c r="AN232" s="4355"/>
      <c r="AO232" s="4355"/>
      <c r="AP232" s="4355"/>
      <c r="AQ232" s="4355"/>
      <c r="AR232" s="4355"/>
      <c r="AS232" s="4355"/>
      <c r="AT232" s="4356"/>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2">
        <f t="shared" si="124"/>
        <v>0</v>
      </c>
      <c r="H233" s="4353">
        <f t="shared" si="125"/>
        <v>0</v>
      </c>
      <c r="I233" s="4354"/>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03">
        <f t="shared" si="126"/>
        <v>0</v>
      </c>
      <c r="AD233" s="4355"/>
      <c r="AE233" s="4355"/>
      <c r="AF233" s="4355"/>
      <c r="AG233" s="4355"/>
      <c r="AH233" s="4355"/>
      <c r="AI233" s="4355"/>
      <c r="AJ233" s="4355"/>
      <c r="AK233" s="4355"/>
      <c r="AL233" s="4355"/>
      <c r="AM233" s="4355"/>
      <c r="AN233" s="4355"/>
      <c r="AO233" s="4355"/>
      <c r="AP233" s="4355"/>
      <c r="AQ233" s="4355"/>
      <c r="AR233" s="4355"/>
      <c r="AS233" s="4355"/>
      <c r="AT233" s="4356"/>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2">
        <f t="shared" si="124"/>
        <v>0</v>
      </c>
      <c r="H234" s="4353">
        <f t="shared" si="125"/>
        <v>0</v>
      </c>
      <c r="I234" s="4354"/>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03">
        <f t="shared" si="126"/>
        <v>0</v>
      </c>
      <c r="AD234" s="4355"/>
      <c r="AE234" s="4355"/>
      <c r="AF234" s="4355"/>
      <c r="AG234" s="4355"/>
      <c r="AH234" s="4355"/>
      <c r="AI234" s="4355"/>
      <c r="AJ234" s="4355"/>
      <c r="AK234" s="4355"/>
      <c r="AL234" s="4355"/>
      <c r="AM234" s="4355"/>
      <c r="AN234" s="4355"/>
      <c r="AO234" s="4355"/>
      <c r="AP234" s="4355"/>
      <c r="AQ234" s="4355"/>
      <c r="AR234" s="4355"/>
      <c r="AS234" s="4355"/>
      <c r="AT234" s="4356"/>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2">
        <f t="shared" si="124"/>
        <v>0</v>
      </c>
      <c r="H235" s="4353">
        <f t="shared" si="125"/>
        <v>0</v>
      </c>
      <c r="I235" s="4354"/>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03">
        <f t="shared" si="126"/>
        <v>0</v>
      </c>
      <c r="AD235" s="4355"/>
      <c r="AE235" s="4355"/>
      <c r="AF235" s="4355"/>
      <c r="AG235" s="4355"/>
      <c r="AH235" s="4355"/>
      <c r="AI235" s="4355"/>
      <c r="AJ235" s="4355"/>
      <c r="AK235" s="4355"/>
      <c r="AL235" s="4355"/>
      <c r="AM235" s="4355"/>
      <c r="AN235" s="4355"/>
      <c r="AO235" s="4355"/>
      <c r="AP235" s="4355"/>
      <c r="AQ235" s="4355"/>
      <c r="AR235" s="4355"/>
      <c r="AS235" s="4355"/>
      <c r="AT235" s="4356"/>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2">
        <f t="shared" si="124"/>
        <v>0</v>
      </c>
      <c r="H236" s="4353">
        <f t="shared" si="125"/>
        <v>0</v>
      </c>
      <c r="I236" s="4354"/>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03">
        <f t="shared" si="126"/>
        <v>0</v>
      </c>
      <c r="AD236" s="4355"/>
      <c r="AE236" s="4355"/>
      <c r="AF236" s="4355"/>
      <c r="AG236" s="4355"/>
      <c r="AH236" s="4355"/>
      <c r="AI236" s="4355"/>
      <c r="AJ236" s="4355"/>
      <c r="AK236" s="4355"/>
      <c r="AL236" s="4355"/>
      <c r="AM236" s="4355"/>
      <c r="AN236" s="4355"/>
      <c r="AO236" s="4355"/>
      <c r="AP236" s="4355"/>
      <c r="AQ236" s="4355"/>
      <c r="AR236" s="4355"/>
      <c r="AS236" s="4355"/>
      <c r="AT236" s="4356"/>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2">
        <f t="shared" si="124"/>
        <v>0</v>
      </c>
      <c r="H237" s="4353">
        <f t="shared" si="125"/>
        <v>0</v>
      </c>
      <c r="I237" s="4354"/>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03">
        <f t="shared" si="126"/>
        <v>0</v>
      </c>
      <c r="AD237" s="4355"/>
      <c r="AE237" s="4355"/>
      <c r="AF237" s="4355"/>
      <c r="AG237" s="4355"/>
      <c r="AH237" s="4355"/>
      <c r="AI237" s="4355"/>
      <c r="AJ237" s="4355"/>
      <c r="AK237" s="4355"/>
      <c r="AL237" s="4355"/>
      <c r="AM237" s="4355"/>
      <c r="AN237" s="4355"/>
      <c r="AO237" s="4355"/>
      <c r="AP237" s="4355"/>
      <c r="AQ237" s="4355"/>
      <c r="AR237" s="4355"/>
      <c r="AS237" s="4355"/>
      <c r="AT237" s="4356"/>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2">
        <f t="shared" si="124"/>
        <v>0</v>
      </c>
      <c r="H238" s="4353">
        <f t="shared" si="125"/>
        <v>0</v>
      </c>
      <c r="I238" s="4354"/>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03">
        <f t="shared" si="126"/>
        <v>0</v>
      </c>
      <c r="AD238" s="4355"/>
      <c r="AE238" s="4355"/>
      <c r="AF238" s="4355"/>
      <c r="AG238" s="4355"/>
      <c r="AH238" s="4355"/>
      <c r="AI238" s="4355"/>
      <c r="AJ238" s="4355"/>
      <c r="AK238" s="4355"/>
      <c r="AL238" s="4355"/>
      <c r="AM238" s="4355"/>
      <c r="AN238" s="4355"/>
      <c r="AO238" s="4355"/>
      <c r="AP238" s="4355"/>
      <c r="AQ238" s="4355"/>
      <c r="AR238" s="4355"/>
      <c r="AS238" s="4355"/>
      <c r="AT238" s="4356"/>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2">
        <f t="shared" si="124"/>
        <v>0</v>
      </c>
      <c r="H239" s="4353">
        <f t="shared" si="125"/>
        <v>0</v>
      </c>
      <c r="I239" s="4354"/>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03">
        <f t="shared" si="126"/>
        <v>0</v>
      </c>
      <c r="AD239" s="4355"/>
      <c r="AE239" s="4355"/>
      <c r="AF239" s="4355"/>
      <c r="AG239" s="4355"/>
      <c r="AH239" s="4355"/>
      <c r="AI239" s="4355"/>
      <c r="AJ239" s="4355"/>
      <c r="AK239" s="4355"/>
      <c r="AL239" s="4355"/>
      <c r="AM239" s="4355"/>
      <c r="AN239" s="4355"/>
      <c r="AO239" s="4355"/>
      <c r="AP239" s="4355"/>
      <c r="AQ239" s="4355"/>
      <c r="AR239" s="4355"/>
      <c r="AS239" s="4355"/>
      <c r="AT239" s="4356"/>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2">
        <f t="shared" si="124"/>
        <v>0</v>
      </c>
      <c r="H240" s="4353">
        <f t="shared" si="125"/>
        <v>0</v>
      </c>
      <c r="I240" s="4354"/>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03">
        <f t="shared" si="126"/>
        <v>0</v>
      </c>
      <c r="AD240" s="4355"/>
      <c r="AE240" s="4355"/>
      <c r="AF240" s="4355"/>
      <c r="AG240" s="4355"/>
      <c r="AH240" s="4355"/>
      <c r="AI240" s="4355"/>
      <c r="AJ240" s="4355"/>
      <c r="AK240" s="4355"/>
      <c r="AL240" s="4355"/>
      <c r="AM240" s="4355"/>
      <c r="AN240" s="4355"/>
      <c r="AO240" s="4355"/>
      <c r="AP240" s="4355"/>
      <c r="AQ240" s="4355"/>
      <c r="AR240" s="4355"/>
      <c r="AS240" s="4355"/>
      <c r="AT240" s="4356"/>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2">
        <f t="shared" si="124"/>
        <v>0</v>
      </c>
      <c r="H241" s="4353">
        <f t="shared" si="125"/>
        <v>0</v>
      </c>
      <c r="I241" s="4354"/>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03">
        <f t="shared" si="126"/>
        <v>0</v>
      </c>
      <c r="AD241" s="4355"/>
      <c r="AE241" s="4355"/>
      <c r="AF241" s="4355"/>
      <c r="AG241" s="4355"/>
      <c r="AH241" s="4355"/>
      <c r="AI241" s="4355"/>
      <c r="AJ241" s="4355"/>
      <c r="AK241" s="4355"/>
      <c r="AL241" s="4355"/>
      <c r="AM241" s="4355"/>
      <c r="AN241" s="4355"/>
      <c r="AO241" s="4355"/>
      <c r="AP241" s="4355"/>
      <c r="AQ241" s="4355"/>
      <c r="AR241" s="4355"/>
      <c r="AS241" s="4355"/>
      <c r="AT241" s="4356"/>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2">
        <f t="shared" si="124"/>
        <v>0</v>
      </c>
      <c r="H242" s="4353">
        <f t="shared" si="125"/>
        <v>0</v>
      </c>
      <c r="I242" s="4354"/>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03">
        <f t="shared" si="126"/>
        <v>0</v>
      </c>
      <c r="AD242" s="4355"/>
      <c r="AE242" s="4355"/>
      <c r="AF242" s="4355"/>
      <c r="AG242" s="4355"/>
      <c r="AH242" s="4355"/>
      <c r="AI242" s="4355"/>
      <c r="AJ242" s="4355"/>
      <c r="AK242" s="4355"/>
      <c r="AL242" s="4355"/>
      <c r="AM242" s="4355"/>
      <c r="AN242" s="4355"/>
      <c r="AO242" s="4355"/>
      <c r="AP242" s="4355"/>
      <c r="AQ242" s="4355"/>
      <c r="AR242" s="4355"/>
      <c r="AS242" s="4355"/>
      <c r="AT242" s="4356"/>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2">
        <f t="shared" si="124"/>
        <v>0</v>
      </c>
      <c r="H243" s="4353">
        <f t="shared" si="125"/>
        <v>0</v>
      </c>
      <c r="I243" s="4354"/>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03">
        <f t="shared" si="126"/>
        <v>0</v>
      </c>
      <c r="AD243" s="4355"/>
      <c r="AE243" s="4355"/>
      <c r="AF243" s="4355"/>
      <c r="AG243" s="4355"/>
      <c r="AH243" s="4355"/>
      <c r="AI243" s="4355"/>
      <c r="AJ243" s="4355"/>
      <c r="AK243" s="4355"/>
      <c r="AL243" s="4355"/>
      <c r="AM243" s="4355"/>
      <c r="AN243" s="4355"/>
      <c r="AO243" s="4355"/>
      <c r="AP243" s="4355"/>
      <c r="AQ243" s="4355"/>
      <c r="AR243" s="4355"/>
      <c r="AS243" s="4355"/>
      <c r="AT243" s="4356"/>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2">
        <f t="shared" si="124"/>
        <v>0</v>
      </c>
      <c r="H244" s="4353">
        <f t="shared" si="125"/>
        <v>0</v>
      </c>
      <c r="I244" s="4354"/>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03">
        <f t="shared" si="126"/>
        <v>0</v>
      </c>
      <c r="AD244" s="4355"/>
      <c r="AE244" s="4355"/>
      <c r="AF244" s="4355"/>
      <c r="AG244" s="4355"/>
      <c r="AH244" s="4355"/>
      <c r="AI244" s="4355"/>
      <c r="AJ244" s="4355"/>
      <c r="AK244" s="4355"/>
      <c r="AL244" s="4355"/>
      <c r="AM244" s="4355"/>
      <c r="AN244" s="4355"/>
      <c r="AO244" s="4355"/>
      <c r="AP244" s="4355"/>
      <c r="AQ244" s="4355"/>
      <c r="AR244" s="4355"/>
      <c r="AS244" s="4355"/>
      <c r="AT244" s="4356"/>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2">
        <f t="shared" si="124"/>
        <v>0</v>
      </c>
      <c r="H245" s="4353">
        <f t="shared" si="125"/>
        <v>0</v>
      </c>
      <c r="I245" s="4354"/>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03">
        <f t="shared" si="126"/>
        <v>0</v>
      </c>
      <c r="AD245" s="4355"/>
      <c r="AE245" s="4355"/>
      <c r="AF245" s="4355"/>
      <c r="AG245" s="4355"/>
      <c r="AH245" s="4355"/>
      <c r="AI245" s="4355"/>
      <c r="AJ245" s="4355"/>
      <c r="AK245" s="4355"/>
      <c r="AL245" s="4355"/>
      <c r="AM245" s="4355"/>
      <c r="AN245" s="4355"/>
      <c r="AO245" s="4355"/>
      <c r="AP245" s="4355"/>
      <c r="AQ245" s="4355"/>
      <c r="AR245" s="4355"/>
      <c r="AS245" s="4355"/>
      <c r="AT245" s="4356"/>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2">
        <f t="shared" si="124"/>
        <v>0</v>
      </c>
      <c r="H246" s="4353">
        <f t="shared" si="125"/>
        <v>0</v>
      </c>
      <c r="I246" s="4354"/>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03">
        <f t="shared" si="126"/>
        <v>0</v>
      </c>
      <c r="AD246" s="4355"/>
      <c r="AE246" s="4355"/>
      <c r="AF246" s="4355"/>
      <c r="AG246" s="4355"/>
      <c r="AH246" s="4355"/>
      <c r="AI246" s="4355"/>
      <c r="AJ246" s="4355"/>
      <c r="AK246" s="4355"/>
      <c r="AL246" s="4355"/>
      <c r="AM246" s="4355"/>
      <c r="AN246" s="4355"/>
      <c r="AO246" s="4355"/>
      <c r="AP246" s="4355"/>
      <c r="AQ246" s="4355"/>
      <c r="AR246" s="4355"/>
      <c r="AS246" s="4355"/>
      <c r="AT246" s="4356"/>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2">
        <f t="shared" si="124"/>
        <v>0</v>
      </c>
      <c r="H247" s="4353">
        <f t="shared" si="125"/>
        <v>0</v>
      </c>
      <c r="I247" s="4354"/>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03">
        <f t="shared" si="126"/>
        <v>0</v>
      </c>
      <c r="AD247" s="4355"/>
      <c r="AE247" s="4355"/>
      <c r="AF247" s="4355"/>
      <c r="AG247" s="4355"/>
      <c r="AH247" s="4355"/>
      <c r="AI247" s="4355"/>
      <c r="AJ247" s="4355"/>
      <c r="AK247" s="4355"/>
      <c r="AL247" s="4355"/>
      <c r="AM247" s="4355"/>
      <c r="AN247" s="4355"/>
      <c r="AO247" s="4355"/>
      <c r="AP247" s="4355"/>
      <c r="AQ247" s="4355"/>
      <c r="AR247" s="4355"/>
      <c r="AS247" s="4355"/>
      <c r="AT247" s="4356"/>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2">
        <f t="shared" si="124"/>
        <v>0</v>
      </c>
      <c r="H248" s="4353">
        <f t="shared" si="125"/>
        <v>0</v>
      </c>
      <c r="I248" s="4354"/>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03">
        <f t="shared" si="126"/>
        <v>0</v>
      </c>
      <c r="AD248" s="4355"/>
      <c r="AE248" s="4355"/>
      <c r="AF248" s="4355"/>
      <c r="AG248" s="4355"/>
      <c r="AH248" s="4355"/>
      <c r="AI248" s="4355"/>
      <c r="AJ248" s="4355"/>
      <c r="AK248" s="4355"/>
      <c r="AL248" s="4355"/>
      <c r="AM248" s="4355"/>
      <c r="AN248" s="4355"/>
      <c r="AO248" s="4355"/>
      <c r="AP248" s="4355"/>
      <c r="AQ248" s="4355"/>
      <c r="AR248" s="4355"/>
      <c r="AS248" s="4355"/>
      <c r="AT248" s="4356"/>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2">
        <f t="shared" si="124"/>
        <v>0</v>
      </c>
      <c r="H249" s="4353">
        <f t="shared" si="125"/>
        <v>0</v>
      </c>
      <c r="I249" s="4354"/>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03">
        <f t="shared" si="126"/>
        <v>0</v>
      </c>
      <c r="AD249" s="4355"/>
      <c r="AE249" s="4355"/>
      <c r="AF249" s="4355"/>
      <c r="AG249" s="4355"/>
      <c r="AH249" s="4355"/>
      <c r="AI249" s="4355"/>
      <c r="AJ249" s="4355"/>
      <c r="AK249" s="4355"/>
      <c r="AL249" s="4355"/>
      <c r="AM249" s="4355"/>
      <c r="AN249" s="4355"/>
      <c r="AO249" s="4355"/>
      <c r="AP249" s="4355"/>
      <c r="AQ249" s="4355"/>
      <c r="AR249" s="4355"/>
      <c r="AS249" s="4355"/>
      <c r="AT249" s="4356"/>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2">
        <f t="shared" si="124"/>
        <v>0</v>
      </c>
      <c r="H250" s="4353">
        <f t="shared" si="125"/>
        <v>0</v>
      </c>
      <c r="I250" s="4354"/>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03">
        <f t="shared" si="126"/>
        <v>0</v>
      </c>
      <c r="AD250" s="4355"/>
      <c r="AE250" s="4355"/>
      <c r="AF250" s="4355"/>
      <c r="AG250" s="4355"/>
      <c r="AH250" s="4355"/>
      <c r="AI250" s="4355"/>
      <c r="AJ250" s="4355"/>
      <c r="AK250" s="4355"/>
      <c r="AL250" s="4355"/>
      <c r="AM250" s="4355"/>
      <c r="AN250" s="4355"/>
      <c r="AO250" s="4355"/>
      <c r="AP250" s="4355"/>
      <c r="AQ250" s="4355"/>
      <c r="AR250" s="4355"/>
      <c r="AS250" s="4355"/>
      <c r="AT250" s="4356"/>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2">
        <f t="shared" si="124"/>
        <v>0</v>
      </c>
      <c r="H251" s="4353">
        <f t="shared" si="125"/>
        <v>0</v>
      </c>
      <c r="I251" s="4354"/>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03">
        <f t="shared" si="126"/>
        <v>0</v>
      </c>
      <c r="AD251" s="4355"/>
      <c r="AE251" s="4355"/>
      <c r="AF251" s="4355"/>
      <c r="AG251" s="4355"/>
      <c r="AH251" s="4355"/>
      <c r="AI251" s="4355"/>
      <c r="AJ251" s="4355"/>
      <c r="AK251" s="4355"/>
      <c r="AL251" s="4355"/>
      <c r="AM251" s="4355"/>
      <c r="AN251" s="4355"/>
      <c r="AO251" s="4355"/>
      <c r="AP251" s="4355"/>
      <c r="AQ251" s="4355"/>
      <c r="AR251" s="4355"/>
      <c r="AS251" s="4355"/>
      <c r="AT251" s="4356"/>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2">
        <f t="shared" si="124"/>
        <v>0</v>
      </c>
      <c r="H252" s="4353">
        <f t="shared" si="125"/>
        <v>0</v>
      </c>
      <c r="I252" s="4354"/>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03">
        <f t="shared" si="126"/>
        <v>0</v>
      </c>
      <c r="AD252" s="4355"/>
      <c r="AE252" s="4355"/>
      <c r="AF252" s="4355"/>
      <c r="AG252" s="4355"/>
      <c r="AH252" s="4355"/>
      <c r="AI252" s="4355"/>
      <c r="AJ252" s="4355"/>
      <c r="AK252" s="4355"/>
      <c r="AL252" s="4355"/>
      <c r="AM252" s="4355"/>
      <c r="AN252" s="4355"/>
      <c r="AO252" s="4355"/>
      <c r="AP252" s="4355"/>
      <c r="AQ252" s="4355"/>
      <c r="AR252" s="4355"/>
      <c r="AS252" s="4355"/>
      <c r="AT252" s="4356"/>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2">
        <f t="shared" si="124"/>
        <v>0</v>
      </c>
      <c r="H253" s="4353">
        <f t="shared" si="125"/>
        <v>0</v>
      </c>
      <c r="I253" s="4354"/>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03">
        <f t="shared" si="126"/>
        <v>0</v>
      </c>
      <c r="AD253" s="4355"/>
      <c r="AE253" s="4355"/>
      <c r="AF253" s="4355"/>
      <c r="AG253" s="4355"/>
      <c r="AH253" s="4355"/>
      <c r="AI253" s="4355"/>
      <c r="AJ253" s="4355"/>
      <c r="AK253" s="4355"/>
      <c r="AL253" s="4355"/>
      <c r="AM253" s="4355"/>
      <c r="AN253" s="4355"/>
      <c r="AO253" s="4355"/>
      <c r="AP253" s="4355"/>
      <c r="AQ253" s="4355"/>
      <c r="AR253" s="4355"/>
      <c r="AS253" s="4355"/>
      <c r="AT253" s="4356"/>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2">
        <f t="shared" si="124"/>
        <v>0</v>
      </c>
      <c r="H254" s="4353">
        <f t="shared" si="125"/>
        <v>0</v>
      </c>
      <c r="I254" s="4354"/>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03">
        <f t="shared" si="126"/>
        <v>0</v>
      </c>
      <c r="AD254" s="4355"/>
      <c r="AE254" s="4355"/>
      <c r="AF254" s="4355"/>
      <c r="AG254" s="4355"/>
      <c r="AH254" s="4355"/>
      <c r="AI254" s="4355"/>
      <c r="AJ254" s="4355"/>
      <c r="AK254" s="4355"/>
      <c r="AL254" s="4355"/>
      <c r="AM254" s="4355"/>
      <c r="AN254" s="4355"/>
      <c r="AO254" s="4355"/>
      <c r="AP254" s="4355"/>
      <c r="AQ254" s="4355"/>
      <c r="AR254" s="4355"/>
      <c r="AS254" s="4355"/>
      <c r="AT254" s="4356"/>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2">
        <f t="shared" si="124"/>
        <v>0</v>
      </c>
      <c r="H255" s="4353">
        <f t="shared" si="125"/>
        <v>0</v>
      </c>
      <c r="I255" s="4354"/>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03">
        <f t="shared" si="126"/>
        <v>0</v>
      </c>
      <c r="AD255" s="4355"/>
      <c r="AE255" s="4355"/>
      <c r="AF255" s="4355"/>
      <c r="AG255" s="4355"/>
      <c r="AH255" s="4355"/>
      <c r="AI255" s="4355"/>
      <c r="AJ255" s="4355"/>
      <c r="AK255" s="4355"/>
      <c r="AL255" s="4355"/>
      <c r="AM255" s="4355"/>
      <c r="AN255" s="4355"/>
      <c r="AO255" s="4355"/>
      <c r="AP255" s="4355"/>
      <c r="AQ255" s="4355"/>
      <c r="AR255" s="4355"/>
      <c r="AS255" s="4355"/>
      <c r="AT255" s="4356"/>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2">
        <f t="shared" si="124"/>
        <v>0</v>
      </c>
      <c r="H256" s="4353">
        <f t="shared" si="125"/>
        <v>0</v>
      </c>
      <c r="I256" s="4354"/>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03">
        <f t="shared" si="126"/>
        <v>0</v>
      </c>
      <c r="AD256" s="4355"/>
      <c r="AE256" s="4355"/>
      <c r="AF256" s="4355"/>
      <c r="AG256" s="4355"/>
      <c r="AH256" s="4355"/>
      <c r="AI256" s="4355"/>
      <c r="AJ256" s="4355"/>
      <c r="AK256" s="4355"/>
      <c r="AL256" s="4355"/>
      <c r="AM256" s="4355"/>
      <c r="AN256" s="4355"/>
      <c r="AO256" s="4355"/>
      <c r="AP256" s="4355"/>
      <c r="AQ256" s="4355"/>
      <c r="AR256" s="4355"/>
      <c r="AS256" s="4355"/>
      <c r="AT256" s="4356"/>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2">
        <f t="shared" si="124"/>
        <v>0</v>
      </c>
      <c r="H257" s="4353">
        <f t="shared" si="125"/>
        <v>0</v>
      </c>
      <c r="I257" s="4354"/>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03">
        <f t="shared" si="126"/>
        <v>0</v>
      </c>
      <c r="AD257" s="4355"/>
      <c r="AE257" s="4355"/>
      <c r="AF257" s="4355"/>
      <c r="AG257" s="4355"/>
      <c r="AH257" s="4355"/>
      <c r="AI257" s="4355"/>
      <c r="AJ257" s="4355"/>
      <c r="AK257" s="4355"/>
      <c r="AL257" s="4355"/>
      <c r="AM257" s="4355"/>
      <c r="AN257" s="4355"/>
      <c r="AO257" s="4355"/>
      <c r="AP257" s="4355"/>
      <c r="AQ257" s="4355"/>
      <c r="AR257" s="4355"/>
      <c r="AS257" s="4355"/>
      <c r="AT257" s="4356"/>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2">
        <f t="shared" si="124"/>
        <v>0</v>
      </c>
      <c r="H258" s="4353">
        <f t="shared" si="125"/>
        <v>0</v>
      </c>
      <c r="I258" s="4354"/>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03">
        <f t="shared" si="126"/>
        <v>0</v>
      </c>
      <c r="AD258" s="4355"/>
      <c r="AE258" s="4355"/>
      <c r="AF258" s="4355"/>
      <c r="AG258" s="4355"/>
      <c r="AH258" s="4355"/>
      <c r="AI258" s="4355"/>
      <c r="AJ258" s="4355"/>
      <c r="AK258" s="4355"/>
      <c r="AL258" s="4355"/>
      <c r="AM258" s="4355"/>
      <c r="AN258" s="4355"/>
      <c r="AO258" s="4355"/>
      <c r="AP258" s="4355"/>
      <c r="AQ258" s="4355"/>
      <c r="AR258" s="4355"/>
      <c r="AS258" s="4355"/>
      <c r="AT258" s="4356"/>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2">
        <f t="shared" si="124"/>
        <v>0</v>
      </c>
      <c r="H259" s="4353">
        <f t="shared" si="125"/>
        <v>0</v>
      </c>
      <c r="I259" s="4354"/>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03">
        <f t="shared" si="126"/>
        <v>0</v>
      </c>
      <c r="AD259" s="4355"/>
      <c r="AE259" s="4355"/>
      <c r="AF259" s="4355"/>
      <c r="AG259" s="4355"/>
      <c r="AH259" s="4355"/>
      <c r="AI259" s="4355"/>
      <c r="AJ259" s="4355"/>
      <c r="AK259" s="4355"/>
      <c r="AL259" s="4355"/>
      <c r="AM259" s="4355"/>
      <c r="AN259" s="4355"/>
      <c r="AO259" s="4355"/>
      <c r="AP259" s="4355"/>
      <c r="AQ259" s="4355"/>
      <c r="AR259" s="4355"/>
      <c r="AS259" s="4355"/>
      <c r="AT259" s="4356"/>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2">
        <f t="shared" si="124"/>
        <v>0</v>
      </c>
      <c r="H260" s="4353">
        <f t="shared" si="125"/>
        <v>0</v>
      </c>
      <c r="I260" s="4354"/>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03">
        <f t="shared" si="126"/>
        <v>0</v>
      </c>
      <c r="AD260" s="4355"/>
      <c r="AE260" s="4355"/>
      <c r="AF260" s="4355"/>
      <c r="AG260" s="4355"/>
      <c r="AH260" s="4355"/>
      <c r="AI260" s="4355"/>
      <c r="AJ260" s="4355"/>
      <c r="AK260" s="4355"/>
      <c r="AL260" s="4355"/>
      <c r="AM260" s="4355"/>
      <c r="AN260" s="4355"/>
      <c r="AO260" s="4355"/>
      <c r="AP260" s="4355"/>
      <c r="AQ260" s="4355"/>
      <c r="AR260" s="4355"/>
      <c r="AS260" s="4355"/>
      <c r="AT260" s="4356"/>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2">
        <f t="shared" si="124"/>
        <v>0</v>
      </c>
      <c r="H261" s="4353">
        <f t="shared" si="125"/>
        <v>0</v>
      </c>
      <c r="I261" s="4354"/>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03">
        <f t="shared" si="126"/>
        <v>0</v>
      </c>
      <c r="AD261" s="4355"/>
      <c r="AE261" s="4355"/>
      <c r="AF261" s="4355"/>
      <c r="AG261" s="4355"/>
      <c r="AH261" s="4355"/>
      <c r="AI261" s="4355"/>
      <c r="AJ261" s="4355"/>
      <c r="AK261" s="4355"/>
      <c r="AL261" s="4355"/>
      <c r="AM261" s="4355"/>
      <c r="AN261" s="4355"/>
      <c r="AO261" s="4355"/>
      <c r="AP261" s="4355"/>
      <c r="AQ261" s="4355"/>
      <c r="AR261" s="4355"/>
      <c r="AS261" s="4355"/>
      <c r="AT261" s="4356"/>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2">
        <f t="shared" si="124"/>
        <v>0</v>
      </c>
      <c r="H262" s="4353">
        <f t="shared" si="125"/>
        <v>0</v>
      </c>
      <c r="I262" s="4354"/>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03">
        <f t="shared" si="126"/>
        <v>0</v>
      </c>
      <c r="AD262" s="4355"/>
      <c r="AE262" s="4355"/>
      <c r="AF262" s="4355"/>
      <c r="AG262" s="4355"/>
      <c r="AH262" s="4355"/>
      <c r="AI262" s="4355"/>
      <c r="AJ262" s="4355"/>
      <c r="AK262" s="4355"/>
      <c r="AL262" s="4355"/>
      <c r="AM262" s="4355"/>
      <c r="AN262" s="4355"/>
      <c r="AO262" s="4355"/>
      <c r="AP262" s="4355"/>
      <c r="AQ262" s="4355"/>
      <c r="AR262" s="4355"/>
      <c r="AS262" s="4355"/>
      <c r="AT262" s="4356"/>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2">
        <f t="shared" si="124"/>
        <v>0</v>
      </c>
      <c r="H263" s="4353">
        <f t="shared" si="125"/>
        <v>0</v>
      </c>
      <c r="I263" s="4354"/>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03">
        <f t="shared" si="126"/>
        <v>0</v>
      </c>
      <c r="AD263" s="4355"/>
      <c r="AE263" s="4355"/>
      <c r="AF263" s="4355"/>
      <c r="AG263" s="4355"/>
      <c r="AH263" s="4355"/>
      <c r="AI263" s="4355"/>
      <c r="AJ263" s="4355"/>
      <c r="AK263" s="4355"/>
      <c r="AL263" s="4355"/>
      <c r="AM263" s="4355"/>
      <c r="AN263" s="4355"/>
      <c r="AO263" s="4355"/>
      <c r="AP263" s="4355"/>
      <c r="AQ263" s="4355"/>
      <c r="AR263" s="4355"/>
      <c r="AS263" s="4355"/>
      <c r="AT263" s="4356"/>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2">
        <f t="shared" si="124"/>
        <v>0</v>
      </c>
      <c r="H264" s="4353">
        <f t="shared" si="125"/>
        <v>0</v>
      </c>
      <c r="I264" s="4354"/>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03">
        <f t="shared" si="126"/>
        <v>0</v>
      </c>
      <c r="AD264" s="4355"/>
      <c r="AE264" s="4355"/>
      <c r="AF264" s="4355"/>
      <c r="AG264" s="4355"/>
      <c r="AH264" s="4355"/>
      <c r="AI264" s="4355"/>
      <c r="AJ264" s="4355"/>
      <c r="AK264" s="4355"/>
      <c r="AL264" s="4355"/>
      <c r="AM264" s="4355"/>
      <c r="AN264" s="4355"/>
      <c r="AO264" s="4355"/>
      <c r="AP264" s="4355"/>
      <c r="AQ264" s="4355"/>
      <c r="AR264" s="4355"/>
      <c r="AS264" s="4355"/>
      <c r="AT264" s="4356"/>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2">
        <f t="shared" si="124"/>
        <v>0</v>
      </c>
      <c r="H265" s="4353">
        <f t="shared" si="125"/>
        <v>0</v>
      </c>
      <c r="I265" s="4354"/>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03">
        <f t="shared" si="126"/>
        <v>0</v>
      </c>
      <c r="AD265" s="4355"/>
      <c r="AE265" s="4355"/>
      <c r="AF265" s="4355"/>
      <c r="AG265" s="4355"/>
      <c r="AH265" s="4355"/>
      <c r="AI265" s="4355"/>
      <c r="AJ265" s="4355"/>
      <c r="AK265" s="4355"/>
      <c r="AL265" s="4355"/>
      <c r="AM265" s="4355"/>
      <c r="AN265" s="4355"/>
      <c r="AO265" s="4355"/>
      <c r="AP265" s="4355"/>
      <c r="AQ265" s="4355"/>
      <c r="AR265" s="4355"/>
      <c r="AS265" s="4355"/>
      <c r="AT265" s="4356"/>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2">
        <f t="shared" si="124"/>
        <v>0</v>
      </c>
      <c r="H266" s="4353">
        <f t="shared" si="125"/>
        <v>0</v>
      </c>
      <c r="I266" s="4354"/>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03">
        <f t="shared" si="126"/>
        <v>0</v>
      </c>
      <c r="AD266" s="4355"/>
      <c r="AE266" s="4355"/>
      <c r="AF266" s="4355"/>
      <c r="AG266" s="4355"/>
      <c r="AH266" s="4355"/>
      <c r="AI266" s="4355"/>
      <c r="AJ266" s="4355"/>
      <c r="AK266" s="4355"/>
      <c r="AL266" s="4355"/>
      <c r="AM266" s="4355"/>
      <c r="AN266" s="4355"/>
      <c r="AO266" s="4355"/>
      <c r="AP266" s="4355"/>
      <c r="AQ266" s="4355"/>
      <c r="AR266" s="4355"/>
      <c r="AS266" s="4355"/>
      <c r="AT266" s="4356"/>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2">
        <f t="shared" si="124"/>
        <v>0</v>
      </c>
      <c r="H267" s="4353">
        <f t="shared" si="125"/>
        <v>0</v>
      </c>
      <c r="I267" s="4354"/>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03">
        <f t="shared" si="126"/>
        <v>0</v>
      </c>
      <c r="AD267" s="4355"/>
      <c r="AE267" s="4355"/>
      <c r="AF267" s="4355"/>
      <c r="AG267" s="4355"/>
      <c r="AH267" s="4355"/>
      <c r="AI267" s="4355"/>
      <c r="AJ267" s="4355"/>
      <c r="AK267" s="4355"/>
      <c r="AL267" s="4355"/>
      <c r="AM267" s="4355"/>
      <c r="AN267" s="4355"/>
      <c r="AO267" s="4355"/>
      <c r="AP267" s="4355"/>
      <c r="AQ267" s="4355"/>
      <c r="AR267" s="4355"/>
      <c r="AS267" s="4355"/>
      <c r="AT267" s="4356"/>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2">
        <f t="shared" si="124"/>
        <v>0</v>
      </c>
      <c r="H268" s="4353">
        <f t="shared" si="125"/>
        <v>0</v>
      </c>
      <c r="I268" s="4354"/>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03">
        <f t="shared" si="126"/>
        <v>0</v>
      </c>
      <c r="AD268" s="4355"/>
      <c r="AE268" s="4355"/>
      <c r="AF268" s="4355"/>
      <c r="AG268" s="4355"/>
      <c r="AH268" s="4355"/>
      <c r="AI268" s="4355"/>
      <c r="AJ268" s="4355"/>
      <c r="AK268" s="4355"/>
      <c r="AL268" s="4355"/>
      <c r="AM268" s="4355"/>
      <c r="AN268" s="4355"/>
      <c r="AO268" s="4355"/>
      <c r="AP268" s="4355"/>
      <c r="AQ268" s="4355"/>
      <c r="AR268" s="4355"/>
      <c r="AS268" s="4355"/>
      <c r="AT268" s="4356"/>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2">
        <f t="shared" si="124"/>
        <v>0</v>
      </c>
      <c r="H269" s="4353">
        <f t="shared" si="125"/>
        <v>0</v>
      </c>
      <c r="I269" s="4354"/>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03">
        <f t="shared" si="126"/>
        <v>0</v>
      </c>
      <c r="AD269" s="4355"/>
      <c r="AE269" s="4355"/>
      <c r="AF269" s="4355"/>
      <c r="AG269" s="4355"/>
      <c r="AH269" s="4355"/>
      <c r="AI269" s="4355"/>
      <c r="AJ269" s="4355"/>
      <c r="AK269" s="4355"/>
      <c r="AL269" s="4355"/>
      <c r="AM269" s="4355"/>
      <c r="AN269" s="4355"/>
      <c r="AO269" s="4355"/>
      <c r="AP269" s="4355"/>
      <c r="AQ269" s="4355"/>
      <c r="AR269" s="4355"/>
      <c r="AS269" s="4355"/>
      <c r="AT269" s="4356"/>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2">
        <f t="shared" si="124"/>
        <v>0</v>
      </c>
      <c r="H270" s="4353">
        <f t="shared" si="125"/>
        <v>0</v>
      </c>
      <c r="I270" s="4354"/>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03">
        <f t="shared" si="126"/>
        <v>0</v>
      </c>
      <c r="AD270" s="4355"/>
      <c r="AE270" s="4355"/>
      <c r="AF270" s="4355"/>
      <c r="AG270" s="4355"/>
      <c r="AH270" s="4355"/>
      <c r="AI270" s="4355"/>
      <c r="AJ270" s="4355"/>
      <c r="AK270" s="4355"/>
      <c r="AL270" s="4355"/>
      <c r="AM270" s="4355"/>
      <c r="AN270" s="4355"/>
      <c r="AO270" s="4355"/>
      <c r="AP270" s="4355"/>
      <c r="AQ270" s="4355"/>
      <c r="AR270" s="4355"/>
      <c r="AS270" s="4355"/>
      <c r="AT270" s="4356"/>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2">
        <f t="shared" si="124"/>
        <v>0</v>
      </c>
      <c r="H271" s="4353">
        <f t="shared" si="125"/>
        <v>0</v>
      </c>
      <c r="I271" s="4354"/>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03">
        <f t="shared" si="126"/>
        <v>0</v>
      </c>
      <c r="AD271" s="4355"/>
      <c r="AE271" s="4355"/>
      <c r="AF271" s="4355"/>
      <c r="AG271" s="4355"/>
      <c r="AH271" s="4355"/>
      <c r="AI271" s="4355"/>
      <c r="AJ271" s="4355"/>
      <c r="AK271" s="4355"/>
      <c r="AL271" s="4355"/>
      <c r="AM271" s="4355"/>
      <c r="AN271" s="4355"/>
      <c r="AO271" s="4355"/>
      <c r="AP271" s="4355"/>
      <c r="AQ271" s="4355"/>
      <c r="AR271" s="4355"/>
      <c r="AS271" s="4355"/>
      <c r="AT271" s="4356"/>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2">
        <f t="shared" si="124"/>
        <v>0</v>
      </c>
      <c r="H272" s="4353">
        <f t="shared" si="125"/>
        <v>0</v>
      </c>
      <c r="I272" s="4354"/>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03">
        <f t="shared" si="126"/>
        <v>0</v>
      </c>
      <c r="AD272" s="4355"/>
      <c r="AE272" s="4355"/>
      <c r="AF272" s="4355"/>
      <c r="AG272" s="4355"/>
      <c r="AH272" s="4355"/>
      <c r="AI272" s="4355"/>
      <c r="AJ272" s="4355"/>
      <c r="AK272" s="4355"/>
      <c r="AL272" s="4355"/>
      <c r="AM272" s="4355"/>
      <c r="AN272" s="4355"/>
      <c r="AO272" s="4355"/>
      <c r="AP272" s="4355"/>
      <c r="AQ272" s="4355"/>
      <c r="AR272" s="4355"/>
      <c r="AS272" s="4355"/>
      <c r="AT272" s="4356"/>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2">
        <f t="shared" si="124"/>
        <v>0</v>
      </c>
      <c r="H273" s="4353">
        <f t="shared" si="125"/>
        <v>0</v>
      </c>
      <c r="I273" s="4354"/>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03">
        <f t="shared" si="126"/>
        <v>0</v>
      </c>
      <c r="AD273" s="4355"/>
      <c r="AE273" s="4355"/>
      <c r="AF273" s="4355"/>
      <c r="AG273" s="4355"/>
      <c r="AH273" s="4355"/>
      <c r="AI273" s="4355"/>
      <c r="AJ273" s="4355"/>
      <c r="AK273" s="4355"/>
      <c r="AL273" s="4355"/>
      <c r="AM273" s="4355"/>
      <c r="AN273" s="4355"/>
      <c r="AO273" s="4355"/>
      <c r="AP273" s="4355"/>
      <c r="AQ273" s="4355"/>
      <c r="AR273" s="4355"/>
      <c r="AS273" s="4355"/>
      <c r="AT273" s="4356"/>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2">
        <f t="shared" si="124"/>
        <v>0</v>
      </c>
      <c r="H274" s="4353">
        <f t="shared" si="125"/>
        <v>0</v>
      </c>
      <c r="I274" s="4354"/>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03">
        <f t="shared" si="126"/>
        <v>0</v>
      </c>
      <c r="AD274" s="4355"/>
      <c r="AE274" s="4355"/>
      <c r="AF274" s="4355"/>
      <c r="AG274" s="4355"/>
      <c r="AH274" s="4355"/>
      <c r="AI274" s="4355"/>
      <c r="AJ274" s="4355"/>
      <c r="AK274" s="4355"/>
      <c r="AL274" s="4355"/>
      <c r="AM274" s="4355"/>
      <c r="AN274" s="4355"/>
      <c r="AO274" s="4355"/>
      <c r="AP274" s="4355"/>
      <c r="AQ274" s="4355"/>
      <c r="AR274" s="4355"/>
      <c r="AS274" s="4355"/>
      <c r="AT274" s="4356"/>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2">
        <f t="shared" si="124"/>
        <v>0</v>
      </c>
      <c r="H275" s="4353">
        <f t="shared" si="125"/>
        <v>0</v>
      </c>
      <c r="I275" s="4354"/>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03">
        <f t="shared" si="126"/>
        <v>0</v>
      </c>
      <c r="AD275" s="4355"/>
      <c r="AE275" s="4355"/>
      <c r="AF275" s="4355"/>
      <c r="AG275" s="4355"/>
      <c r="AH275" s="4355"/>
      <c r="AI275" s="4355"/>
      <c r="AJ275" s="4355"/>
      <c r="AK275" s="4355"/>
      <c r="AL275" s="4355"/>
      <c r="AM275" s="4355"/>
      <c r="AN275" s="4355"/>
      <c r="AO275" s="4355"/>
      <c r="AP275" s="4355"/>
      <c r="AQ275" s="4355"/>
      <c r="AR275" s="4355"/>
      <c r="AS275" s="4355"/>
      <c r="AT275" s="4356"/>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2">
        <f t="shared" si="124"/>
        <v>0</v>
      </c>
      <c r="H276" s="4353">
        <f t="shared" si="125"/>
        <v>0</v>
      </c>
      <c r="I276" s="4354"/>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03">
        <f t="shared" si="126"/>
        <v>0</v>
      </c>
      <c r="AD276" s="4355"/>
      <c r="AE276" s="4355"/>
      <c r="AF276" s="4355"/>
      <c r="AG276" s="4355"/>
      <c r="AH276" s="4355"/>
      <c r="AI276" s="4355"/>
      <c r="AJ276" s="4355"/>
      <c r="AK276" s="4355"/>
      <c r="AL276" s="4355"/>
      <c r="AM276" s="4355"/>
      <c r="AN276" s="4355"/>
      <c r="AO276" s="4355"/>
      <c r="AP276" s="4355"/>
      <c r="AQ276" s="4355"/>
      <c r="AR276" s="4355"/>
      <c r="AS276" s="4355"/>
      <c r="AT276" s="4356"/>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2">
        <f t="shared" si="124"/>
        <v>0</v>
      </c>
      <c r="H277" s="4353">
        <f t="shared" si="125"/>
        <v>0</v>
      </c>
      <c r="I277" s="4354"/>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03">
        <f t="shared" si="126"/>
        <v>0</v>
      </c>
      <c r="AD277" s="4355"/>
      <c r="AE277" s="4355"/>
      <c r="AF277" s="4355"/>
      <c r="AG277" s="4355"/>
      <c r="AH277" s="4355"/>
      <c r="AI277" s="4355"/>
      <c r="AJ277" s="4355"/>
      <c r="AK277" s="4355"/>
      <c r="AL277" s="4355"/>
      <c r="AM277" s="4355"/>
      <c r="AN277" s="4355"/>
      <c r="AO277" s="4355"/>
      <c r="AP277" s="4355"/>
      <c r="AQ277" s="4355"/>
      <c r="AR277" s="4355"/>
      <c r="AS277" s="4355"/>
      <c r="AT277" s="4356"/>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2">
        <f t="shared" si="124"/>
        <v>0</v>
      </c>
      <c r="H278" s="4353">
        <f t="shared" si="125"/>
        <v>0</v>
      </c>
      <c r="I278" s="4354"/>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03">
        <f t="shared" si="126"/>
        <v>0</v>
      </c>
      <c r="AD278" s="4355"/>
      <c r="AE278" s="4355"/>
      <c r="AF278" s="4355"/>
      <c r="AG278" s="4355"/>
      <c r="AH278" s="4355"/>
      <c r="AI278" s="4355"/>
      <c r="AJ278" s="4355"/>
      <c r="AK278" s="4355"/>
      <c r="AL278" s="4355"/>
      <c r="AM278" s="4355"/>
      <c r="AN278" s="4355"/>
      <c r="AO278" s="4355"/>
      <c r="AP278" s="4355"/>
      <c r="AQ278" s="4355"/>
      <c r="AR278" s="4355"/>
      <c r="AS278" s="4355"/>
      <c r="AT278" s="4356"/>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2">
        <f t="shared" si="124"/>
        <v>0</v>
      </c>
      <c r="H279" s="4353">
        <f t="shared" si="125"/>
        <v>0</v>
      </c>
      <c r="I279" s="4354"/>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03">
        <f t="shared" si="126"/>
        <v>0</v>
      </c>
      <c r="AD279" s="4355"/>
      <c r="AE279" s="4355"/>
      <c r="AF279" s="4355"/>
      <c r="AG279" s="4355"/>
      <c r="AH279" s="4355"/>
      <c r="AI279" s="4355"/>
      <c r="AJ279" s="4355"/>
      <c r="AK279" s="4355"/>
      <c r="AL279" s="4355"/>
      <c r="AM279" s="4355"/>
      <c r="AN279" s="4355"/>
      <c r="AO279" s="4355"/>
      <c r="AP279" s="4355"/>
      <c r="AQ279" s="4355"/>
      <c r="AR279" s="4355"/>
      <c r="AS279" s="4355"/>
      <c r="AT279" s="4356"/>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2">
        <f t="shared" si="124"/>
        <v>0</v>
      </c>
      <c r="H280" s="4353">
        <f t="shared" si="125"/>
        <v>0</v>
      </c>
      <c r="I280" s="4354"/>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03">
        <f t="shared" si="126"/>
        <v>0</v>
      </c>
      <c r="AD280" s="4355"/>
      <c r="AE280" s="4355"/>
      <c r="AF280" s="4355"/>
      <c r="AG280" s="4355"/>
      <c r="AH280" s="4355"/>
      <c r="AI280" s="4355"/>
      <c r="AJ280" s="4355"/>
      <c r="AK280" s="4355"/>
      <c r="AL280" s="4355"/>
      <c r="AM280" s="4355"/>
      <c r="AN280" s="4355"/>
      <c r="AO280" s="4355"/>
      <c r="AP280" s="4355"/>
      <c r="AQ280" s="4355"/>
      <c r="AR280" s="4355"/>
      <c r="AS280" s="4355"/>
      <c r="AT280" s="4356"/>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2">
        <f t="shared" si="124"/>
        <v>0</v>
      </c>
      <c r="H281" s="4353">
        <f t="shared" si="125"/>
        <v>0</v>
      </c>
      <c r="I281" s="4354"/>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03">
        <f t="shared" si="126"/>
        <v>0</v>
      </c>
      <c r="AD281" s="4355"/>
      <c r="AE281" s="4355"/>
      <c r="AF281" s="4355"/>
      <c r="AG281" s="4355"/>
      <c r="AH281" s="4355"/>
      <c r="AI281" s="4355"/>
      <c r="AJ281" s="4355"/>
      <c r="AK281" s="4355"/>
      <c r="AL281" s="4355"/>
      <c r="AM281" s="4355"/>
      <c r="AN281" s="4355"/>
      <c r="AO281" s="4355"/>
      <c r="AP281" s="4355"/>
      <c r="AQ281" s="4355"/>
      <c r="AR281" s="4355"/>
      <c r="AS281" s="4355"/>
      <c r="AT281" s="4356"/>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2">
        <f t="shared" si="124"/>
        <v>0</v>
      </c>
      <c r="H282" s="4353">
        <f t="shared" si="125"/>
        <v>0</v>
      </c>
      <c r="I282" s="4354"/>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03">
        <f t="shared" si="126"/>
        <v>0</v>
      </c>
      <c r="AD282" s="4355"/>
      <c r="AE282" s="4355"/>
      <c r="AF282" s="4355"/>
      <c r="AG282" s="4355"/>
      <c r="AH282" s="4355"/>
      <c r="AI282" s="4355"/>
      <c r="AJ282" s="4355"/>
      <c r="AK282" s="4355"/>
      <c r="AL282" s="4355"/>
      <c r="AM282" s="4355"/>
      <c r="AN282" s="4355"/>
      <c r="AO282" s="4355"/>
      <c r="AP282" s="4355"/>
      <c r="AQ282" s="4355"/>
      <c r="AR282" s="4355"/>
      <c r="AS282" s="4355"/>
      <c r="AT282" s="4356"/>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2">
        <f t="shared" si="124"/>
        <v>0</v>
      </c>
      <c r="H283" s="4353">
        <f t="shared" si="125"/>
        <v>0</v>
      </c>
      <c r="I283" s="4354"/>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03">
        <f t="shared" si="126"/>
        <v>0</v>
      </c>
      <c r="AD283" s="4355"/>
      <c r="AE283" s="4355"/>
      <c r="AF283" s="4355"/>
      <c r="AG283" s="4355"/>
      <c r="AH283" s="4355"/>
      <c r="AI283" s="4355"/>
      <c r="AJ283" s="4355"/>
      <c r="AK283" s="4355"/>
      <c r="AL283" s="4355"/>
      <c r="AM283" s="4355"/>
      <c r="AN283" s="4355"/>
      <c r="AO283" s="4355"/>
      <c r="AP283" s="4355"/>
      <c r="AQ283" s="4355"/>
      <c r="AR283" s="4355"/>
      <c r="AS283" s="4355"/>
      <c r="AT283" s="4356"/>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2">
        <f t="shared" si="124"/>
        <v>0</v>
      </c>
      <c r="H284" s="4353">
        <f t="shared" si="125"/>
        <v>0</v>
      </c>
      <c r="I284" s="4354"/>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03">
        <f t="shared" si="126"/>
        <v>0</v>
      </c>
      <c r="AD284" s="4355"/>
      <c r="AE284" s="4355"/>
      <c r="AF284" s="4355"/>
      <c r="AG284" s="4355"/>
      <c r="AH284" s="4355"/>
      <c r="AI284" s="4355"/>
      <c r="AJ284" s="4355"/>
      <c r="AK284" s="4355"/>
      <c r="AL284" s="4355"/>
      <c r="AM284" s="4355"/>
      <c r="AN284" s="4355"/>
      <c r="AO284" s="4355"/>
      <c r="AP284" s="4355"/>
      <c r="AQ284" s="4355"/>
      <c r="AR284" s="4355"/>
      <c r="AS284" s="4355"/>
      <c r="AT284" s="4356"/>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2">
        <f t="shared" si="124"/>
        <v>0</v>
      </c>
      <c r="H285" s="4353">
        <f t="shared" si="125"/>
        <v>0</v>
      </c>
      <c r="I285" s="4354"/>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03">
        <f t="shared" si="126"/>
        <v>0</v>
      </c>
      <c r="AD285" s="4355"/>
      <c r="AE285" s="4355"/>
      <c r="AF285" s="4355"/>
      <c r="AG285" s="4355"/>
      <c r="AH285" s="4355"/>
      <c r="AI285" s="4355"/>
      <c r="AJ285" s="4355"/>
      <c r="AK285" s="4355"/>
      <c r="AL285" s="4355"/>
      <c r="AM285" s="4355"/>
      <c r="AN285" s="4355"/>
      <c r="AO285" s="4355"/>
      <c r="AP285" s="4355"/>
      <c r="AQ285" s="4355"/>
      <c r="AR285" s="4355"/>
      <c r="AS285" s="4355"/>
      <c r="AT285" s="4356"/>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2">
        <f t="shared" si="124"/>
        <v>0</v>
      </c>
      <c r="H286" s="4353">
        <f t="shared" si="125"/>
        <v>0</v>
      </c>
      <c r="I286" s="4354"/>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03">
        <f t="shared" si="126"/>
        <v>0</v>
      </c>
      <c r="AD286" s="4355"/>
      <c r="AE286" s="4355"/>
      <c r="AF286" s="4355"/>
      <c r="AG286" s="4355"/>
      <c r="AH286" s="4355"/>
      <c r="AI286" s="4355"/>
      <c r="AJ286" s="4355"/>
      <c r="AK286" s="4355"/>
      <c r="AL286" s="4355"/>
      <c r="AM286" s="4355"/>
      <c r="AN286" s="4355"/>
      <c r="AO286" s="4355"/>
      <c r="AP286" s="4355"/>
      <c r="AQ286" s="4355"/>
      <c r="AR286" s="4355"/>
      <c r="AS286" s="4355"/>
      <c r="AT286" s="4356"/>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2">
        <f t="shared" si="124"/>
        <v>0</v>
      </c>
      <c r="H287" s="4353">
        <f t="shared" si="125"/>
        <v>0</v>
      </c>
      <c r="I287" s="4354"/>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03">
        <f t="shared" si="126"/>
        <v>0</v>
      </c>
      <c r="AD287" s="4355"/>
      <c r="AE287" s="4355"/>
      <c r="AF287" s="4355"/>
      <c r="AG287" s="4355"/>
      <c r="AH287" s="4355"/>
      <c r="AI287" s="4355"/>
      <c r="AJ287" s="4355"/>
      <c r="AK287" s="4355"/>
      <c r="AL287" s="4355"/>
      <c r="AM287" s="4355"/>
      <c r="AN287" s="4355"/>
      <c r="AO287" s="4355"/>
      <c r="AP287" s="4355"/>
      <c r="AQ287" s="4355"/>
      <c r="AR287" s="4355"/>
      <c r="AS287" s="4355"/>
      <c r="AT287" s="4356"/>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2">
        <f t="shared" si="124"/>
        <v>0</v>
      </c>
      <c r="H288" s="4353">
        <f t="shared" si="125"/>
        <v>0</v>
      </c>
      <c r="I288" s="4354"/>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03">
        <f t="shared" si="126"/>
        <v>0</v>
      </c>
      <c r="AD288" s="4355"/>
      <c r="AE288" s="4355"/>
      <c r="AF288" s="4355"/>
      <c r="AG288" s="4355"/>
      <c r="AH288" s="4355"/>
      <c r="AI288" s="4355"/>
      <c r="AJ288" s="4355"/>
      <c r="AK288" s="4355"/>
      <c r="AL288" s="4355"/>
      <c r="AM288" s="4355"/>
      <c r="AN288" s="4355"/>
      <c r="AO288" s="4355"/>
      <c r="AP288" s="4355"/>
      <c r="AQ288" s="4355"/>
      <c r="AR288" s="4355"/>
      <c r="AS288" s="4355"/>
      <c r="AT288" s="4356"/>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2">
        <f t="shared" si="124"/>
        <v>0</v>
      </c>
      <c r="H289" s="4353">
        <f t="shared" si="125"/>
        <v>0</v>
      </c>
      <c r="I289" s="4354"/>
      <c r="J289" s="4354"/>
      <c r="K289" s="4354"/>
      <c r="L289" s="4354"/>
      <c r="M289" s="4354"/>
      <c r="N289" s="4354"/>
      <c r="O289" s="4354"/>
      <c r="P289" s="4354"/>
      <c r="Q289" s="4354"/>
      <c r="R289" s="4354"/>
      <c r="S289" s="4354"/>
      <c r="T289" s="4354"/>
      <c r="U289" s="4354"/>
      <c r="V289" s="4354"/>
      <c r="W289" s="4354"/>
      <c r="X289" s="4354"/>
      <c r="Y289" s="4354"/>
      <c r="Z289" s="4354"/>
      <c r="AA289" s="4354"/>
      <c r="AB289" s="4354"/>
      <c r="AC289" s="403">
        <f t="shared" si="126"/>
        <v>0</v>
      </c>
      <c r="AD289" s="4355"/>
      <c r="AE289" s="4355"/>
      <c r="AF289" s="4355"/>
      <c r="AG289" s="4355"/>
      <c r="AH289" s="4355"/>
      <c r="AI289" s="4355"/>
      <c r="AJ289" s="4355"/>
      <c r="AK289" s="4355"/>
      <c r="AL289" s="4355"/>
      <c r="AM289" s="4355"/>
      <c r="AN289" s="4355"/>
      <c r="AO289" s="4355"/>
      <c r="AP289" s="4355"/>
      <c r="AQ289" s="4355"/>
      <c r="AR289" s="4355"/>
      <c r="AS289" s="4355"/>
      <c r="AT289" s="4356"/>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2">
        <f t="shared" si="124"/>
        <v>0</v>
      </c>
      <c r="H290" s="4353">
        <f t="shared" si="125"/>
        <v>0</v>
      </c>
      <c r="I290" s="4354"/>
      <c r="J290" s="4354"/>
      <c r="K290" s="4354"/>
      <c r="L290" s="4354"/>
      <c r="M290" s="4354"/>
      <c r="N290" s="4354"/>
      <c r="O290" s="4354"/>
      <c r="P290" s="4354"/>
      <c r="Q290" s="4354"/>
      <c r="R290" s="4354"/>
      <c r="S290" s="4354"/>
      <c r="T290" s="4354"/>
      <c r="U290" s="4354"/>
      <c r="V290" s="4354"/>
      <c r="W290" s="4354"/>
      <c r="X290" s="4354"/>
      <c r="Y290" s="4354"/>
      <c r="Z290" s="4354"/>
      <c r="AA290" s="4354"/>
      <c r="AB290" s="4354"/>
      <c r="AC290" s="403">
        <f t="shared" si="126"/>
        <v>0</v>
      </c>
      <c r="AD290" s="4355"/>
      <c r="AE290" s="4355"/>
      <c r="AF290" s="4355"/>
      <c r="AG290" s="4355"/>
      <c r="AH290" s="4355"/>
      <c r="AI290" s="4355"/>
      <c r="AJ290" s="4355"/>
      <c r="AK290" s="4355"/>
      <c r="AL290" s="4355"/>
      <c r="AM290" s="4355"/>
      <c r="AN290" s="4355"/>
      <c r="AO290" s="4355"/>
      <c r="AP290" s="4355"/>
      <c r="AQ290" s="4355"/>
      <c r="AR290" s="4355"/>
      <c r="AS290" s="4355"/>
      <c r="AT290" s="4356"/>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2">
        <f t="shared" si="124"/>
        <v>0</v>
      </c>
      <c r="H291" s="4353">
        <f t="shared" si="125"/>
        <v>0</v>
      </c>
      <c r="I291" s="4354"/>
      <c r="J291" s="4354"/>
      <c r="K291" s="4354"/>
      <c r="L291" s="4354"/>
      <c r="M291" s="4354"/>
      <c r="N291" s="4354"/>
      <c r="O291" s="4354"/>
      <c r="P291" s="4354"/>
      <c r="Q291" s="4354"/>
      <c r="R291" s="4354"/>
      <c r="S291" s="4354"/>
      <c r="T291" s="4354"/>
      <c r="U291" s="4354"/>
      <c r="V291" s="4354"/>
      <c r="W291" s="4354"/>
      <c r="X291" s="4354"/>
      <c r="Y291" s="4354"/>
      <c r="Z291" s="4354"/>
      <c r="AA291" s="4354"/>
      <c r="AB291" s="4354"/>
      <c r="AC291" s="403">
        <f t="shared" si="126"/>
        <v>0</v>
      </c>
      <c r="AD291" s="4355"/>
      <c r="AE291" s="4355"/>
      <c r="AF291" s="4355"/>
      <c r="AG291" s="4355"/>
      <c r="AH291" s="4355"/>
      <c r="AI291" s="4355"/>
      <c r="AJ291" s="4355"/>
      <c r="AK291" s="4355"/>
      <c r="AL291" s="4355"/>
      <c r="AM291" s="4355"/>
      <c r="AN291" s="4355"/>
      <c r="AO291" s="4355"/>
      <c r="AP291" s="4355"/>
      <c r="AQ291" s="4355"/>
      <c r="AR291" s="4355"/>
      <c r="AS291" s="4355"/>
      <c r="AT291" s="4356"/>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2">
        <f t="shared" si="124"/>
        <v>0</v>
      </c>
      <c r="H292" s="4353">
        <f t="shared" si="125"/>
        <v>0</v>
      </c>
      <c r="I292" s="4354"/>
      <c r="J292" s="4354"/>
      <c r="K292" s="4354"/>
      <c r="L292" s="4354"/>
      <c r="M292" s="4354"/>
      <c r="N292" s="4354"/>
      <c r="O292" s="4354"/>
      <c r="P292" s="4354"/>
      <c r="Q292" s="4354"/>
      <c r="R292" s="4354"/>
      <c r="S292" s="4354"/>
      <c r="T292" s="4354"/>
      <c r="U292" s="4354"/>
      <c r="V292" s="4354"/>
      <c r="W292" s="4354"/>
      <c r="X292" s="4354"/>
      <c r="Y292" s="4354"/>
      <c r="Z292" s="4354"/>
      <c r="AA292" s="4354"/>
      <c r="AB292" s="4354"/>
      <c r="AC292" s="403">
        <f t="shared" si="126"/>
        <v>0</v>
      </c>
      <c r="AD292" s="4355"/>
      <c r="AE292" s="4355"/>
      <c r="AF292" s="4355"/>
      <c r="AG292" s="4355"/>
      <c r="AH292" s="4355"/>
      <c r="AI292" s="4355"/>
      <c r="AJ292" s="4355"/>
      <c r="AK292" s="4355"/>
      <c r="AL292" s="4355"/>
      <c r="AM292" s="4355"/>
      <c r="AN292" s="4355"/>
      <c r="AO292" s="4355"/>
      <c r="AP292" s="4355"/>
      <c r="AQ292" s="4355"/>
      <c r="AR292" s="4355"/>
      <c r="AS292" s="4355"/>
      <c r="AT292" s="4356"/>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2">
        <f t="shared" si="124"/>
        <v>0</v>
      </c>
      <c r="H293" s="4353">
        <f t="shared" si="125"/>
        <v>0</v>
      </c>
      <c r="I293" s="4354"/>
      <c r="J293" s="4354"/>
      <c r="K293" s="4354"/>
      <c r="L293" s="4354"/>
      <c r="M293" s="4354"/>
      <c r="N293" s="4354"/>
      <c r="O293" s="4354"/>
      <c r="P293" s="4354"/>
      <c r="Q293" s="4354"/>
      <c r="R293" s="4354"/>
      <c r="S293" s="4354"/>
      <c r="T293" s="4354"/>
      <c r="U293" s="4354"/>
      <c r="V293" s="4354"/>
      <c r="W293" s="4354"/>
      <c r="X293" s="4354"/>
      <c r="Y293" s="4354"/>
      <c r="Z293" s="4354"/>
      <c r="AA293" s="4354"/>
      <c r="AB293" s="4354"/>
      <c r="AC293" s="403">
        <f t="shared" si="126"/>
        <v>0</v>
      </c>
      <c r="AD293" s="4355"/>
      <c r="AE293" s="4355"/>
      <c r="AF293" s="4355"/>
      <c r="AG293" s="4355"/>
      <c r="AH293" s="4355"/>
      <c r="AI293" s="4355"/>
      <c r="AJ293" s="4355"/>
      <c r="AK293" s="4355"/>
      <c r="AL293" s="4355"/>
      <c r="AM293" s="4355"/>
      <c r="AN293" s="4355"/>
      <c r="AO293" s="4355"/>
      <c r="AP293" s="4355"/>
      <c r="AQ293" s="4355"/>
      <c r="AR293" s="4355"/>
      <c r="AS293" s="4355"/>
      <c r="AT293" s="4356"/>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2">
        <f t="shared" si="124"/>
        <v>0</v>
      </c>
      <c r="H294" s="4353">
        <f t="shared" si="125"/>
        <v>0</v>
      </c>
      <c r="I294" s="4354"/>
      <c r="J294" s="4354"/>
      <c r="K294" s="4354"/>
      <c r="L294" s="4354"/>
      <c r="M294" s="4354"/>
      <c r="N294" s="4354"/>
      <c r="O294" s="4354"/>
      <c r="P294" s="4354"/>
      <c r="Q294" s="4354"/>
      <c r="R294" s="4354"/>
      <c r="S294" s="4354"/>
      <c r="T294" s="4354"/>
      <c r="U294" s="4354"/>
      <c r="V294" s="4354"/>
      <c r="W294" s="4354"/>
      <c r="X294" s="4354"/>
      <c r="Y294" s="4354"/>
      <c r="Z294" s="4354"/>
      <c r="AA294" s="4354"/>
      <c r="AB294" s="4354"/>
      <c r="AC294" s="403">
        <f t="shared" si="126"/>
        <v>0</v>
      </c>
      <c r="AD294" s="4355"/>
      <c r="AE294" s="4355"/>
      <c r="AF294" s="4355"/>
      <c r="AG294" s="4355"/>
      <c r="AH294" s="4355"/>
      <c r="AI294" s="4355"/>
      <c r="AJ294" s="4355"/>
      <c r="AK294" s="4355"/>
      <c r="AL294" s="4355"/>
      <c r="AM294" s="4355"/>
      <c r="AN294" s="4355"/>
      <c r="AO294" s="4355"/>
      <c r="AP294" s="4355"/>
      <c r="AQ294" s="4355"/>
      <c r="AR294" s="4355"/>
      <c r="AS294" s="4355"/>
      <c r="AT294" s="4356"/>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2">
        <f t="shared" si="124"/>
        <v>0</v>
      </c>
      <c r="H295" s="4353">
        <f t="shared" si="125"/>
        <v>0</v>
      </c>
      <c r="I295" s="4354"/>
      <c r="J295" s="4354"/>
      <c r="K295" s="4354"/>
      <c r="L295" s="4354"/>
      <c r="M295" s="4354"/>
      <c r="N295" s="4354"/>
      <c r="O295" s="4354"/>
      <c r="P295" s="4354"/>
      <c r="Q295" s="4354"/>
      <c r="R295" s="4354"/>
      <c r="S295" s="4354"/>
      <c r="T295" s="4354"/>
      <c r="U295" s="4354"/>
      <c r="V295" s="4354"/>
      <c r="W295" s="4354"/>
      <c r="X295" s="4354"/>
      <c r="Y295" s="4354"/>
      <c r="Z295" s="4354"/>
      <c r="AA295" s="4354"/>
      <c r="AB295" s="4354"/>
      <c r="AC295" s="403">
        <f t="shared" si="126"/>
        <v>0</v>
      </c>
      <c r="AD295" s="4355"/>
      <c r="AE295" s="4355"/>
      <c r="AF295" s="4355"/>
      <c r="AG295" s="4355"/>
      <c r="AH295" s="4355"/>
      <c r="AI295" s="4355"/>
      <c r="AJ295" s="4355"/>
      <c r="AK295" s="4355"/>
      <c r="AL295" s="4355"/>
      <c r="AM295" s="4355"/>
      <c r="AN295" s="4355"/>
      <c r="AO295" s="4355"/>
      <c r="AP295" s="4355"/>
      <c r="AQ295" s="4355"/>
      <c r="AR295" s="4355"/>
      <c r="AS295" s="4355"/>
      <c r="AT295" s="4356"/>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2">
        <f t="shared" si="124"/>
        <v>0</v>
      </c>
      <c r="H296" s="4353">
        <f t="shared" si="125"/>
        <v>0</v>
      </c>
      <c r="I296" s="4354"/>
      <c r="J296" s="4354"/>
      <c r="K296" s="4354"/>
      <c r="L296" s="4354"/>
      <c r="M296" s="4354"/>
      <c r="N296" s="4354"/>
      <c r="O296" s="4354"/>
      <c r="P296" s="4354"/>
      <c r="Q296" s="4354"/>
      <c r="R296" s="4354"/>
      <c r="S296" s="4354"/>
      <c r="T296" s="4354"/>
      <c r="U296" s="4354"/>
      <c r="V296" s="4354"/>
      <c r="W296" s="4354"/>
      <c r="X296" s="4354"/>
      <c r="Y296" s="4354"/>
      <c r="Z296" s="4354"/>
      <c r="AA296" s="4354"/>
      <c r="AB296" s="4354"/>
      <c r="AC296" s="403">
        <f t="shared" si="126"/>
        <v>0</v>
      </c>
      <c r="AD296" s="4355"/>
      <c r="AE296" s="4355"/>
      <c r="AF296" s="4355"/>
      <c r="AG296" s="4355"/>
      <c r="AH296" s="4355"/>
      <c r="AI296" s="4355"/>
      <c r="AJ296" s="4355"/>
      <c r="AK296" s="4355"/>
      <c r="AL296" s="4355"/>
      <c r="AM296" s="4355"/>
      <c r="AN296" s="4355"/>
      <c r="AO296" s="4355"/>
      <c r="AP296" s="4355"/>
      <c r="AQ296" s="4355"/>
      <c r="AR296" s="4355"/>
      <c r="AS296" s="4355"/>
      <c r="AT296" s="4356"/>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2">
        <f t="shared" si="124"/>
        <v>0</v>
      </c>
      <c r="H297" s="4353">
        <f t="shared" si="125"/>
        <v>0</v>
      </c>
      <c r="I297" s="4354"/>
      <c r="J297" s="4354"/>
      <c r="K297" s="4354"/>
      <c r="L297" s="4354"/>
      <c r="M297" s="4354"/>
      <c r="N297" s="4354"/>
      <c r="O297" s="4354"/>
      <c r="P297" s="4354"/>
      <c r="Q297" s="4354"/>
      <c r="R297" s="4354"/>
      <c r="S297" s="4354"/>
      <c r="T297" s="4354"/>
      <c r="U297" s="4354"/>
      <c r="V297" s="4354"/>
      <c r="W297" s="4354"/>
      <c r="X297" s="4354"/>
      <c r="Y297" s="4354"/>
      <c r="Z297" s="4354"/>
      <c r="AA297" s="4354"/>
      <c r="AB297" s="4354"/>
      <c r="AC297" s="403">
        <f t="shared" si="126"/>
        <v>0</v>
      </c>
      <c r="AD297" s="4355"/>
      <c r="AE297" s="4355"/>
      <c r="AF297" s="4355"/>
      <c r="AG297" s="4355"/>
      <c r="AH297" s="4355"/>
      <c r="AI297" s="4355"/>
      <c r="AJ297" s="4355"/>
      <c r="AK297" s="4355"/>
      <c r="AL297" s="4355"/>
      <c r="AM297" s="4355"/>
      <c r="AN297" s="4355"/>
      <c r="AO297" s="4355"/>
      <c r="AP297" s="4355"/>
      <c r="AQ297" s="4355"/>
      <c r="AR297" s="4355"/>
      <c r="AS297" s="4355"/>
      <c r="AT297" s="4356"/>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2">
        <f t="shared" si="124"/>
        <v>0</v>
      </c>
      <c r="H298" s="4353">
        <f t="shared" si="125"/>
        <v>0</v>
      </c>
      <c r="I298" s="4354"/>
      <c r="J298" s="4354"/>
      <c r="K298" s="4354"/>
      <c r="L298" s="4354"/>
      <c r="M298" s="4354"/>
      <c r="N298" s="4354"/>
      <c r="O298" s="4354"/>
      <c r="P298" s="4354"/>
      <c r="Q298" s="4354"/>
      <c r="R298" s="4354"/>
      <c r="S298" s="4354"/>
      <c r="T298" s="4354"/>
      <c r="U298" s="4354"/>
      <c r="V298" s="4354"/>
      <c r="W298" s="4354"/>
      <c r="X298" s="4354"/>
      <c r="Y298" s="4354"/>
      <c r="Z298" s="4354"/>
      <c r="AA298" s="4354"/>
      <c r="AB298" s="4354"/>
      <c r="AC298" s="403">
        <f t="shared" si="126"/>
        <v>0</v>
      </c>
      <c r="AD298" s="4355"/>
      <c r="AE298" s="4355"/>
      <c r="AF298" s="4355"/>
      <c r="AG298" s="4355"/>
      <c r="AH298" s="4355"/>
      <c r="AI298" s="4355"/>
      <c r="AJ298" s="4355"/>
      <c r="AK298" s="4355"/>
      <c r="AL298" s="4355"/>
      <c r="AM298" s="4355"/>
      <c r="AN298" s="4355"/>
      <c r="AO298" s="4355"/>
      <c r="AP298" s="4355"/>
      <c r="AQ298" s="4355"/>
      <c r="AR298" s="4355"/>
      <c r="AS298" s="4355"/>
      <c r="AT298" s="4356"/>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2">
        <f t="shared" si="124"/>
        <v>0</v>
      </c>
      <c r="H299" s="4353">
        <f t="shared" si="125"/>
        <v>0</v>
      </c>
      <c r="I299" s="4354"/>
      <c r="J299" s="4354"/>
      <c r="K299" s="4354"/>
      <c r="L299" s="4354"/>
      <c r="M299" s="4354"/>
      <c r="N299" s="4354"/>
      <c r="O299" s="4354"/>
      <c r="P299" s="4354"/>
      <c r="Q299" s="4354"/>
      <c r="R299" s="4354"/>
      <c r="S299" s="4354"/>
      <c r="T299" s="4354"/>
      <c r="U299" s="4354"/>
      <c r="V299" s="4354"/>
      <c r="W299" s="4354"/>
      <c r="X299" s="4354"/>
      <c r="Y299" s="4354"/>
      <c r="Z299" s="4354"/>
      <c r="AA299" s="4354"/>
      <c r="AB299" s="4354"/>
      <c r="AC299" s="403">
        <f t="shared" si="126"/>
        <v>0</v>
      </c>
      <c r="AD299" s="4355"/>
      <c r="AE299" s="4355"/>
      <c r="AF299" s="4355"/>
      <c r="AG299" s="4355"/>
      <c r="AH299" s="4355"/>
      <c r="AI299" s="4355"/>
      <c r="AJ299" s="4355"/>
      <c r="AK299" s="4355"/>
      <c r="AL299" s="4355"/>
      <c r="AM299" s="4355"/>
      <c r="AN299" s="4355"/>
      <c r="AO299" s="4355"/>
      <c r="AP299" s="4355"/>
      <c r="AQ299" s="4355"/>
      <c r="AR299" s="4355"/>
      <c r="AS299" s="4355"/>
      <c r="AT299" s="4356"/>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2">
        <f t="shared" ref="G300:G331" si="152">H300+AC300+AT300</f>
        <v>0</v>
      </c>
      <c r="H300" s="4353">
        <f t="shared" ref="H300:H331" si="153">SUMIF(I$12:AB$12,"总值",I300:AB300)</f>
        <v>0</v>
      </c>
      <c r="I300" s="4354"/>
      <c r="J300" s="4354"/>
      <c r="K300" s="4354"/>
      <c r="L300" s="4354"/>
      <c r="M300" s="4354"/>
      <c r="N300" s="4354"/>
      <c r="O300" s="4354"/>
      <c r="P300" s="4354"/>
      <c r="Q300" s="4354"/>
      <c r="R300" s="4354"/>
      <c r="S300" s="4354"/>
      <c r="T300" s="4354"/>
      <c r="U300" s="4354"/>
      <c r="V300" s="4354"/>
      <c r="W300" s="4354"/>
      <c r="X300" s="4354"/>
      <c r="Y300" s="4354"/>
      <c r="Z300" s="4354"/>
      <c r="AA300" s="4354"/>
      <c r="AB300" s="4354"/>
      <c r="AC300" s="403">
        <f t="shared" ref="AC300:AC331" si="154">SUMIF(AD$12:AS$12,"总值",AD300:AS300)</f>
        <v>0</v>
      </c>
      <c r="AD300" s="4355"/>
      <c r="AE300" s="4355"/>
      <c r="AF300" s="4355"/>
      <c r="AG300" s="4355"/>
      <c r="AH300" s="4355"/>
      <c r="AI300" s="4355"/>
      <c r="AJ300" s="4355"/>
      <c r="AK300" s="4355"/>
      <c r="AL300" s="4355"/>
      <c r="AM300" s="4355"/>
      <c r="AN300" s="4355"/>
      <c r="AO300" s="4355"/>
      <c r="AP300" s="4355"/>
      <c r="AQ300" s="4355"/>
      <c r="AR300" s="4355"/>
      <c r="AS300" s="4355"/>
      <c r="AT300" s="4355"/>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2">
        <f t="shared" si="152"/>
        <v>0</v>
      </c>
      <c r="H301" s="4353">
        <f t="shared" si="153"/>
        <v>0</v>
      </c>
      <c r="I301" s="4354"/>
      <c r="J301" s="4354"/>
      <c r="K301" s="4354"/>
      <c r="L301" s="4354"/>
      <c r="M301" s="4354"/>
      <c r="N301" s="4354"/>
      <c r="O301" s="4354"/>
      <c r="P301" s="4354"/>
      <c r="Q301" s="4354"/>
      <c r="R301" s="4354"/>
      <c r="S301" s="4354"/>
      <c r="T301" s="4354"/>
      <c r="U301" s="4354"/>
      <c r="V301" s="4354"/>
      <c r="W301" s="4354"/>
      <c r="X301" s="4354"/>
      <c r="Y301" s="4354"/>
      <c r="Z301" s="4354"/>
      <c r="AA301" s="4354"/>
      <c r="AB301" s="4354"/>
      <c r="AC301" s="403">
        <f t="shared" si="154"/>
        <v>0</v>
      </c>
      <c r="AD301" s="4355"/>
      <c r="AE301" s="4355"/>
      <c r="AF301" s="4355"/>
      <c r="AG301" s="4355"/>
      <c r="AH301" s="4355"/>
      <c r="AI301" s="4355"/>
      <c r="AJ301" s="4355"/>
      <c r="AK301" s="4355"/>
      <c r="AL301" s="4355"/>
      <c r="AM301" s="4355"/>
      <c r="AN301" s="4355"/>
      <c r="AO301" s="4355"/>
      <c r="AP301" s="4355"/>
      <c r="AQ301" s="4355"/>
      <c r="AR301" s="4355"/>
      <c r="AS301" s="4355"/>
      <c r="AT301" s="4355"/>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2">
        <f t="shared" si="152"/>
        <v>0</v>
      </c>
      <c r="H302" s="4353">
        <f t="shared" si="153"/>
        <v>0</v>
      </c>
      <c r="I302" s="4354"/>
      <c r="J302" s="4354"/>
      <c r="K302" s="4354"/>
      <c r="L302" s="4354"/>
      <c r="M302" s="4354"/>
      <c r="N302" s="4354"/>
      <c r="O302" s="4354"/>
      <c r="P302" s="4354"/>
      <c r="Q302" s="4354"/>
      <c r="R302" s="4354"/>
      <c r="S302" s="4354"/>
      <c r="T302" s="4354"/>
      <c r="U302" s="4354"/>
      <c r="V302" s="4354"/>
      <c r="W302" s="4354"/>
      <c r="X302" s="4354"/>
      <c r="Y302" s="4354"/>
      <c r="Z302" s="4354"/>
      <c r="AA302" s="4354"/>
      <c r="AB302" s="4354"/>
      <c r="AC302" s="403">
        <f t="shared" si="154"/>
        <v>0</v>
      </c>
      <c r="AD302" s="4355"/>
      <c r="AE302" s="4355"/>
      <c r="AF302" s="4355"/>
      <c r="AG302" s="4355"/>
      <c r="AH302" s="4355"/>
      <c r="AI302" s="4355"/>
      <c r="AJ302" s="4355"/>
      <c r="AK302" s="4355"/>
      <c r="AL302" s="4355"/>
      <c r="AM302" s="4355"/>
      <c r="AN302" s="4355"/>
      <c r="AO302" s="4355"/>
      <c r="AP302" s="4355"/>
      <c r="AQ302" s="4355"/>
      <c r="AR302" s="4355"/>
      <c r="AS302" s="4355"/>
      <c r="AT302" s="4355"/>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2">
        <f t="shared" si="152"/>
        <v>0</v>
      </c>
      <c r="H303" s="4353">
        <f t="shared" si="153"/>
        <v>0</v>
      </c>
      <c r="I303" s="4354"/>
      <c r="J303" s="4354"/>
      <c r="K303" s="4354"/>
      <c r="L303" s="4354"/>
      <c r="M303" s="4354"/>
      <c r="N303" s="4354"/>
      <c r="O303" s="4354"/>
      <c r="P303" s="4354"/>
      <c r="Q303" s="4354"/>
      <c r="R303" s="4354"/>
      <c r="S303" s="4354"/>
      <c r="T303" s="4354"/>
      <c r="U303" s="4354"/>
      <c r="V303" s="4354"/>
      <c r="W303" s="4354"/>
      <c r="X303" s="4354"/>
      <c r="Y303" s="4354"/>
      <c r="Z303" s="4354"/>
      <c r="AA303" s="4354"/>
      <c r="AB303" s="4354"/>
      <c r="AC303" s="403">
        <f t="shared" si="154"/>
        <v>0</v>
      </c>
      <c r="AD303" s="4355"/>
      <c r="AE303" s="4355"/>
      <c r="AF303" s="4355"/>
      <c r="AG303" s="4355"/>
      <c r="AH303" s="4355"/>
      <c r="AI303" s="4355"/>
      <c r="AJ303" s="4355"/>
      <c r="AK303" s="4355"/>
      <c r="AL303" s="4355"/>
      <c r="AM303" s="4355"/>
      <c r="AN303" s="4355"/>
      <c r="AO303" s="4355"/>
      <c r="AP303" s="4355"/>
      <c r="AQ303" s="4355"/>
      <c r="AR303" s="4355"/>
      <c r="AS303" s="4355"/>
      <c r="AT303" s="4356"/>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2">
        <f t="shared" si="152"/>
        <v>0</v>
      </c>
      <c r="H304" s="4353">
        <f t="shared" si="153"/>
        <v>0</v>
      </c>
      <c r="I304" s="4354"/>
      <c r="J304" s="4354"/>
      <c r="K304" s="4354"/>
      <c r="L304" s="4354"/>
      <c r="M304" s="4354"/>
      <c r="N304" s="4354"/>
      <c r="O304" s="4354"/>
      <c r="P304" s="4354"/>
      <c r="Q304" s="4354"/>
      <c r="R304" s="4354"/>
      <c r="S304" s="4354"/>
      <c r="T304" s="4354"/>
      <c r="U304" s="4354"/>
      <c r="V304" s="4354"/>
      <c r="W304" s="4354"/>
      <c r="X304" s="4354"/>
      <c r="Y304" s="4354"/>
      <c r="Z304" s="4354"/>
      <c r="AA304" s="4354"/>
      <c r="AB304" s="4354"/>
      <c r="AC304" s="403">
        <f t="shared" si="154"/>
        <v>0</v>
      </c>
      <c r="AD304" s="4355"/>
      <c r="AE304" s="4355"/>
      <c r="AF304" s="4355"/>
      <c r="AG304" s="4355"/>
      <c r="AH304" s="4355"/>
      <c r="AI304" s="4355"/>
      <c r="AJ304" s="4355"/>
      <c r="AK304" s="4355"/>
      <c r="AL304" s="4355"/>
      <c r="AM304" s="4355"/>
      <c r="AN304" s="4355"/>
      <c r="AO304" s="4355"/>
      <c r="AP304" s="4355"/>
      <c r="AQ304" s="4355"/>
      <c r="AR304" s="4355"/>
      <c r="AS304" s="4355"/>
      <c r="AT304" s="4356"/>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2">
        <f t="shared" si="152"/>
        <v>0</v>
      </c>
      <c r="H305" s="4353">
        <f t="shared" si="153"/>
        <v>0</v>
      </c>
      <c r="I305" s="4354"/>
      <c r="J305" s="4354"/>
      <c r="K305" s="4354"/>
      <c r="L305" s="4354"/>
      <c r="M305" s="4354"/>
      <c r="N305" s="4354"/>
      <c r="O305" s="4354"/>
      <c r="P305" s="4354"/>
      <c r="Q305" s="4354"/>
      <c r="R305" s="4354"/>
      <c r="S305" s="4354"/>
      <c r="T305" s="4354"/>
      <c r="U305" s="4354"/>
      <c r="V305" s="4354"/>
      <c r="W305" s="4354"/>
      <c r="X305" s="4354"/>
      <c r="Y305" s="4354"/>
      <c r="Z305" s="4354"/>
      <c r="AA305" s="4354"/>
      <c r="AB305" s="4354"/>
      <c r="AC305" s="403">
        <f t="shared" si="154"/>
        <v>0</v>
      </c>
      <c r="AD305" s="4355"/>
      <c r="AE305" s="4355"/>
      <c r="AF305" s="4355"/>
      <c r="AG305" s="4355"/>
      <c r="AH305" s="4355"/>
      <c r="AI305" s="4355"/>
      <c r="AJ305" s="4355"/>
      <c r="AK305" s="4355"/>
      <c r="AL305" s="4355"/>
      <c r="AM305" s="4355"/>
      <c r="AN305" s="4355"/>
      <c r="AO305" s="4355"/>
      <c r="AP305" s="4355"/>
      <c r="AQ305" s="4355"/>
      <c r="AR305" s="4355"/>
      <c r="AS305" s="4355"/>
      <c r="AT305" s="4356"/>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2">
        <f t="shared" si="152"/>
        <v>0</v>
      </c>
      <c r="H306" s="4353">
        <f t="shared" si="153"/>
        <v>0</v>
      </c>
      <c r="I306" s="4354"/>
      <c r="J306" s="4354"/>
      <c r="K306" s="4354"/>
      <c r="L306" s="4354"/>
      <c r="M306" s="4354"/>
      <c r="N306" s="4354"/>
      <c r="O306" s="4354"/>
      <c r="P306" s="4354"/>
      <c r="Q306" s="4354"/>
      <c r="R306" s="4354"/>
      <c r="S306" s="4354"/>
      <c r="T306" s="4354"/>
      <c r="U306" s="4354"/>
      <c r="V306" s="4354"/>
      <c r="W306" s="4354"/>
      <c r="X306" s="4354"/>
      <c r="Y306" s="4354"/>
      <c r="Z306" s="4354"/>
      <c r="AA306" s="4354"/>
      <c r="AB306" s="4354"/>
      <c r="AC306" s="403">
        <f t="shared" si="154"/>
        <v>0</v>
      </c>
      <c r="AD306" s="4355"/>
      <c r="AE306" s="4355"/>
      <c r="AF306" s="4355"/>
      <c r="AG306" s="4355"/>
      <c r="AH306" s="4355"/>
      <c r="AI306" s="4355"/>
      <c r="AJ306" s="4355"/>
      <c r="AK306" s="4355"/>
      <c r="AL306" s="4355"/>
      <c r="AM306" s="4355"/>
      <c r="AN306" s="4355"/>
      <c r="AO306" s="4355"/>
      <c r="AP306" s="4355"/>
      <c r="AQ306" s="4355"/>
      <c r="AR306" s="4355"/>
      <c r="AS306" s="4355"/>
      <c r="AT306" s="4356"/>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2">
        <f t="shared" si="152"/>
        <v>0</v>
      </c>
      <c r="H307" s="4353">
        <f t="shared" si="153"/>
        <v>0</v>
      </c>
      <c r="I307" s="4354"/>
      <c r="J307" s="4354"/>
      <c r="K307" s="4354"/>
      <c r="L307" s="4354"/>
      <c r="M307" s="4354"/>
      <c r="N307" s="4354"/>
      <c r="O307" s="4354"/>
      <c r="P307" s="4354"/>
      <c r="Q307" s="4354"/>
      <c r="R307" s="4354"/>
      <c r="S307" s="4354"/>
      <c r="T307" s="4354"/>
      <c r="U307" s="4354"/>
      <c r="V307" s="4354"/>
      <c r="W307" s="4354"/>
      <c r="X307" s="4354"/>
      <c r="Y307" s="4354"/>
      <c r="Z307" s="4354"/>
      <c r="AA307" s="4354"/>
      <c r="AB307" s="4354"/>
      <c r="AC307" s="403">
        <f t="shared" si="154"/>
        <v>0</v>
      </c>
      <c r="AD307" s="4355"/>
      <c r="AE307" s="4355"/>
      <c r="AF307" s="4355"/>
      <c r="AG307" s="4355"/>
      <c r="AH307" s="4355"/>
      <c r="AI307" s="4355"/>
      <c r="AJ307" s="4355"/>
      <c r="AK307" s="4355"/>
      <c r="AL307" s="4355"/>
      <c r="AM307" s="4355"/>
      <c r="AN307" s="4355"/>
      <c r="AO307" s="4355"/>
      <c r="AP307" s="4355"/>
      <c r="AQ307" s="4355"/>
      <c r="AR307" s="4355"/>
      <c r="AS307" s="4355"/>
      <c r="AT307" s="4356"/>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2">
        <f t="shared" si="152"/>
        <v>0</v>
      </c>
      <c r="H308" s="4353">
        <f t="shared" si="153"/>
        <v>0</v>
      </c>
      <c r="I308" s="4354"/>
      <c r="J308" s="4354"/>
      <c r="K308" s="4354"/>
      <c r="L308" s="4354"/>
      <c r="M308" s="4354"/>
      <c r="N308" s="4354"/>
      <c r="O308" s="4354"/>
      <c r="P308" s="4354"/>
      <c r="Q308" s="4354"/>
      <c r="R308" s="4354"/>
      <c r="S308" s="4354"/>
      <c r="T308" s="4354"/>
      <c r="U308" s="4354"/>
      <c r="V308" s="4354"/>
      <c r="W308" s="4354"/>
      <c r="X308" s="4354"/>
      <c r="Y308" s="4354"/>
      <c r="Z308" s="4354"/>
      <c r="AA308" s="4354"/>
      <c r="AB308" s="4354"/>
      <c r="AC308" s="403">
        <f t="shared" si="154"/>
        <v>0</v>
      </c>
      <c r="AD308" s="4355"/>
      <c r="AE308" s="4355"/>
      <c r="AF308" s="4355"/>
      <c r="AG308" s="4355"/>
      <c r="AH308" s="4355"/>
      <c r="AI308" s="4355"/>
      <c r="AJ308" s="4355"/>
      <c r="AK308" s="4355"/>
      <c r="AL308" s="4355"/>
      <c r="AM308" s="4355"/>
      <c r="AN308" s="4355"/>
      <c r="AO308" s="4355"/>
      <c r="AP308" s="4355"/>
      <c r="AQ308" s="4355"/>
      <c r="AR308" s="4355"/>
      <c r="AS308" s="4355"/>
      <c r="AT308" s="4356"/>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2">
        <f t="shared" si="152"/>
        <v>0</v>
      </c>
      <c r="H309" s="4353">
        <f t="shared" si="153"/>
        <v>0</v>
      </c>
      <c r="I309" s="4354"/>
      <c r="J309" s="4354"/>
      <c r="K309" s="4354"/>
      <c r="L309" s="4354"/>
      <c r="M309" s="4354"/>
      <c r="N309" s="4354"/>
      <c r="O309" s="4354"/>
      <c r="P309" s="4354"/>
      <c r="Q309" s="4354"/>
      <c r="R309" s="4354"/>
      <c r="S309" s="4354"/>
      <c r="T309" s="4354"/>
      <c r="U309" s="4354"/>
      <c r="V309" s="4354"/>
      <c r="W309" s="4354"/>
      <c r="X309" s="4354"/>
      <c r="Y309" s="4354"/>
      <c r="Z309" s="4354"/>
      <c r="AA309" s="4354"/>
      <c r="AB309" s="4354"/>
      <c r="AC309" s="403">
        <f t="shared" si="154"/>
        <v>0</v>
      </c>
      <c r="AD309" s="4355"/>
      <c r="AE309" s="4355"/>
      <c r="AF309" s="4355"/>
      <c r="AG309" s="4355"/>
      <c r="AH309" s="4355"/>
      <c r="AI309" s="4355"/>
      <c r="AJ309" s="4355"/>
      <c r="AK309" s="4355"/>
      <c r="AL309" s="4355"/>
      <c r="AM309" s="4355"/>
      <c r="AN309" s="4355"/>
      <c r="AO309" s="4355"/>
      <c r="AP309" s="4355"/>
      <c r="AQ309" s="4355"/>
      <c r="AR309" s="4355"/>
      <c r="AS309" s="4355"/>
      <c r="AT309" s="4356"/>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2">
        <f t="shared" si="152"/>
        <v>0</v>
      </c>
      <c r="H310" s="4353">
        <f t="shared" si="153"/>
        <v>0</v>
      </c>
      <c r="I310" s="4354"/>
      <c r="J310" s="4354"/>
      <c r="K310" s="4354"/>
      <c r="L310" s="4354"/>
      <c r="M310" s="4354"/>
      <c r="N310" s="4354"/>
      <c r="O310" s="4354"/>
      <c r="P310" s="4354"/>
      <c r="Q310" s="4354"/>
      <c r="R310" s="4354"/>
      <c r="S310" s="4354"/>
      <c r="T310" s="4354"/>
      <c r="U310" s="4354"/>
      <c r="V310" s="4354"/>
      <c r="W310" s="4354"/>
      <c r="X310" s="4354"/>
      <c r="Y310" s="4354"/>
      <c r="Z310" s="4354"/>
      <c r="AA310" s="4354"/>
      <c r="AB310" s="4354"/>
      <c r="AC310" s="403">
        <f t="shared" si="154"/>
        <v>0</v>
      </c>
      <c r="AD310" s="4355"/>
      <c r="AE310" s="4355"/>
      <c r="AF310" s="4355"/>
      <c r="AG310" s="4355"/>
      <c r="AH310" s="4355"/>
      <c r="AI310" s="4355"/>
      <c r="AJ310" s="4355"/>
      <c r="AK310" s="4355"/>
      <c r="AL310" s="4355"/>
      <c r="AM310" s="4355"/>
      <c r="AN310" s="4355"/>
      <c r="AO310" s="4355"/>
      <c r="AP310" s="4355"/>
      <c r="AQ310" s="4355"/>
      <c r="AR310" s="4355"/>
      <c r="AS310" s="4355"/>
      <c r="AT310" s="4356"/>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2">
        <f t="shared" si="152"/>
        <v>0</v>
      </c>
      <c r="H311" s="4353">
        <f t="shared" si="153"/>
        <v>0</v>
      </c>
      <c r="I311" s="4354"/>
      <c r="J311" s="4354"/>
      <c r="K311" s="4354"/>
      <c r="L311" s="4354"/>
      <c r="M311" s="4354"/>
      <c r="N311" s="4354"/>
      <c r="O311" s="4354"/>
      <c r="P311" s="4354"/>
      <c r="Q311" s="4354"/>
      <c r="R311" s="4354"/>
      <c r="S311" s="4354"/>
      <c r="T311" s="4354"/>
      <c r="U311" s="4354"/>
      <c r="V311" s="4354"/>
      <c r="W311" s="4354"/>
      <c r="X311" s="4354"/>
      <c r="Y311" s="4354"/>
      <c r="Z311" s="4354"/>
      <c r="AA311" s="4354"/>
      <c r="AB311" s="4354"/>
      <c r="AC311" s="403">
        <f t="shared" si="154"/>
        <v>0</v>
      </c>
      <c r="AD311" s="4355"/>
      <c r="AE311" s="4355"/>
      <c r="AF311" s="4355"/>
      <c r="AG311" s="4355"/>
      <c r="AH311" s="4355"/>
      <c r="AI311" s="4355"/>
      <c r="AJ311" s="4355"/>
      <c r="AK311" s="4355"/>
      <c r="AL311" s="4355"/>
      <c r="AM311" s="4355"/>
      <c r="AN311" s="4355"/>
      <c r="AO311" s="4355"/>
      <c r="AP311" s="4355"/>
      <c r="AQ311" s="4355"/>
      <c r="AR311" s="4355"/>
      <c r="AS311" s="4355"/>
      <c r="AT311" s="4356"/>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2">
        <f t="shared" si="152"/>
        <v>0</v>
      </c>
      <c r="H312" s="4353">
        <f t="shared" si="153"/>
        <v>0</v>
      </c>
      <c r="I312" s="4354"/>
      <c r="J312" s="4354"/>
      <c r="K312" s="4354"/>
      <c r="L312" s="4354"/>
      <c r="M312" s="4354"/>
      <c r="N312" s="4354"/>
      <c r="O312" s="4354"/>
      <c r="P312" s="4354"/>
      <c r="Q312" s="4354"/>
      <c r="R312" s="4354"/>
      <c r="S312" s="4354"/>
      <c r="T312" s="4354"/>
      <c r="U312" s="4354"/>
      <c r="V312" s="4354"/>
      <c r="W312" s="4354"/>
      <c r="X312" s="4354"/>
      <c r="Y312" s="4354"/>
      <c r="Z312" s="4354"/>
      <c r="AA312" s="4354"/>
      <c r="AB312" s="4354"/>
      <c r="AC312" s="403">
        <f t="shared" si="154"/>
        <v>0</v>
      </c>
      <c r="AD312" s="4355"/>
      <c r="AE312" s="4355"/>
      <c r="AF312" s="4355"/>
      <c r="AG312" s="4355"/>
      <c r="AH312" s="4355"/>
      <c r="AI312" s="4355"/>
      <c r="AJ312" s="4355"/>
      <c r="AK312" s="4355"/>
      <c r="AL312" s="4355"/>
      <c r="AM312" s="4355"/>
      <c r="AN312" s="4355"/>
      <c r="AO312" s="4355"/>
      <c r="AP312" s="4355"/>
      <c r="AQ312" s="4355"/>
      <c r="AR312" s="4355"/>
      <c r="AS312" s="4355"/>
      <c r="AT312" s="4356"/>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2">
        <f t="shared" si="152"/>
        <v>0</v>
      </c>
      <c r="H313" s="4353">
        <f t="shared" si="153"/>
        <v>0</v>
      </c>
      <c r="I313" s="4354"/>
      <c r="J313" s="4354"/>
      <c r="K313" s="4354"/>
      <c r="L313" s="4354"/>
      <c r="M313" s="4354"/>
      <c r="N313" s="4354"/>
      <c r="O313" s="4354"/>
      <c r="P313" s="4354"/>
      <c r="Q313" s="4354"/>
      <c r="R313" s="4354"/>
      <c r="S313" s="4354"/>
      <c r="T313" s="4354"/>
      <c r="U313" s="4354"/>
      <c r="V313" s="4354"/>
      <c r="W313" s="4354"/>
      <c r="X313" s="4354"/>
      <c r="Y313" s="4354"/>
      <c r="Z313" s="4354"/>
      <c r="AA313" s="4354"/>
      <c r="AB313" s="4354"/>
      <c r="AC313" s="403">
        <f t="shared" si="154"/>
        <v>0</v>
      </c>
      <c r="AD313" s="4355"/>
      <c r="AE313" s="4355"/>
      <c r="AF313" s="4355"/>
      <c r="AG313" s="4355"/>
      <c r="AH313" s="4355"/>
      <c r="AI313" s="4355"/>
      <c r="AJ313" s="4355"/>
      <c r="AK313" s="4355"/>
      <c r="AL313" s="4355"/>
      <c r="AM313" s="4355"/>
      <c r="AN313" s="4355"/>
      <c r="AO313" s="4355"/>
      <c r="AP313" s="4355"/>
      <c r="AQ313" s="4355"/>
      <c r="AR313" s="4355"/>
      <c r="AS313" s="4355"/>
      <c r="AT313" s="4356"/>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2">
        <f t="shared" si="152"/>
        <v>0</v>
      </c>
      <c r="H314" s="4353">
        <f t="shared" si="153"/>
        <v>0</v>
      </c>
      <c r="I314" s="4354"/>
      <c r="J314" s="4354"/>
      <c r="K314" s="4354"/>
      <c r="L314" s="4354"/>
      <c r="M314" s="4354"/>
      <c r="N314" s="4354"/>
      <c r="O314" s="4354"/>
      <c r="P314" s="4354"/>
      <c r="Q314" s="4354"/>
      <c r="R314" s="4354"/>
      <c r="S314" s="4354"/>
      <c r="T314" s="4354"/>
      <c r="U314" s="4354"/>
      <c r="V314" s="4354"/>
      <c r="W314" s="4354"/>
      <c r="X314" s="4354"/>
      <c r="Y314" s="4354"/>
      <c r="Z314" s="4354"/>
      <c r="AA314" s="4354"/>
      <c r="AB314" s="4354"/>
      <c r="AC314" s="403">
        <f t="shared" si="154"/>
        <v>0</v>
      </c>
      <c r="AD314" s="4355"/>
      <c r="AE314" s="4355"/>
      <c r="AF314" s="4355"/>
      <c r="AG314" s="4355"/>
      <c r="AH314" s="4355"/>
      <c r="AI314" s="4355"/>
      <c r="AJ314" s="4355"/>
      <c r="AK314" s="4355"/>
      <c r="AL314" s="4355"/>
      <c r="AM314" s="4355"/>
      <c r="AN314" s="4355"/>
      <c r="AO314" s="4355"/>
      <c r="AP314" s="4355"/>
      <c r="AQ314" s="4355"/>
      <c r="AR314" s="4355"/>
      <c r="AS314" s="4355"/>
      <c r="AT314" s="4356"/>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2">
        <f t="shared" si="152"/>
        <v>0</v>
      </c>
      <c r="H315" s="4353">
        <f t="shared" si="153"/>
        <v>0</v>
      </c>
      <c r="I315" s="4354"/>
      <c r="J315" s="4354"/>
      <c r="K315" s="4354"/>
      <c r="L315" s="4354"/>
      <c r="M315" s="4354"/>
      <c r="N315" s="4354"/>
      <c r="O315" s="4354"/>
      <c r="P315" s="4354"/>
      <c r="Q315" s="4354"/>
      <c r="R315" s="4354"/>
      <c r="S315" s="4354"/>
      <c r="T315" s="4354"/>
      <c r="U315" s="4354"/>
      <c r="V315" s="4354"/>
      <c r="W315" s="4354"/>
      <c r="X315" s="4354"/>
      <c r="Y315" s="4354"/>
      <c r="Z315" s="4354"/>
      <c r="AA315" s="4354"/>
      <c r="AB315" s="4354"/>
      <c r="AC315" s="403">
        <f t="shared" si="154"/>
        <v>0</v>
      </c>
      <c r="AD315" s="4355"/>
      <c r="AE315" s="4355"/>
      <c r="AF315" s="4355"/>
      <c r="AG315" s="4355"/>
      <c r="AH315" s="4355"/>
      <c r="AI315" s="4355"/>
      <c r="AJ315" s="4355"/>
      <c r="AK315" s="4355"/>
      <c r="AL315" s="4355"/>
      <c r="AM315" s="4355"/>
      <c r="AN315" s="4355"/>
      <c r="AO315" s="4355"/>
      <c r="AP315" s="4355"/>
      <c r="AQ315" s="4355"/>
      <c r="AR315" s="4355"/>
      <c r="AS315" s="4355"/>
      <c r="AT315" s="4356"/>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2">
        <f t="shared" si="152"/>
        <v>0</v>
      </c>
      <c r="H316" s="4353">
        <f t="shared" si="153"/>
        <v>0</v>
      </c>
      <c r="I316" s="4354"/>
      <c r="J316" s="4354"/>
      <c r="K316" s="4354"/>
      <c r="L316" s="4354"/>
      <c r="M316" s="4354"/>
      <c r="N316" s="4354"/>
      <c r="O316" s="4354"/>
      <c r="P316" s="4354"/>
      <c r="Q316" s="4354"/>
      <c r="R316" s="4354"/>
      <c r="S316" s="4354"/>
      <c r="T316" s="4354"/>
      <c r="U316" s="4354"/>
      <c r="V316" s="4354"/>
      <c r="W316" s="4354"/>
      <c r="X316" s="4354"/>
      <c r="Y316" s="4354"/>
      <c r="Z316" s="4354"/>
      <c r="AA316" s="4354"/>
      <c r="AB316" s="4354"/>
      <c r="AC316" s="403">
        <f t="shared" si="154"/>
        <v>0</v>
      </c>
      <c r="AD316" s="4355"/>
      <c r="AE316" s="4355"/>
      <c r="AF316" s="4355"/>
      <c r="AG316" s="4355"/>
      <c r="AH316" s="4355"/>
      <c r="AI316" s="4355"/>
      <c r="AJ316" s="4355"/>
      <c r="AK316" s="4355"/>
      <c r="AL316" s="4355"/>
      <c r="AM316" s="4355"/>
      <c r="AN316" s="4355"/>
      <c r="AO316" s="4355"/>
      <c r="AP316" s="4355"/>
      <c r="AQ316" s="4355"/>
      <c r="AR316" s="4355"/>
      <c r="AS316" s="4355"/>
      <c r="AT316" s="4356"/>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2">
        <f t="shared" si="152"/>
        <v>0</v>
      </c>
      <c r="H317" s="4353">
        <f t="shared" si="153"/>
        <v>0</v>
      </c>
      <c r="I317" s="4354"/>
      <c r="J317" s="4354"/>
      <c r="K317" s="4354"/>
      <c r="L317" s="4354"/>
      <c r="M317" s="4354"/>
      <c r="N317" s="4354"/>
      <c r="O317" s="4354"/>
      <c r="P317" s="4354"/>
      <c r="Q317" s="4354"/>
      <c r="R317" s="4354"/>
      <c r="S317" s="4354"/>
      <c r="T317" s="4354"/>
      <c r="U317" s="4354"/>
      <c r="V317" s="4354"/>
      <c r="W317" s="4354"/>
      <c r="X317" s="4354"/>
      <c r="Y317" s="4354"/>
      <c r="Z317" s="4354"/>
      <c r="AA317" s="4354"/>
      <c r="AB317" s="4354"/>
      <c r="AC317" s="403">
        <f t="shared" si="154"/>
        <v>0</v>
      </c>
      <c r="AD317" s="4355"/>
      <c r="AE317" s="4355"/>
      <c r="AF317" s="4355"/>
      <c r="AG317" s="4355"/>
      <c r="AH317" s="4355"/>
      <c r="AI317" s="4355"/>
      <c r="AJ317" s="4355"/>
      <c r="AK317" s="4355"/>
      <c r="AL317" s="4355"/>
      <c r="AM317" s="4355"/>
      <c r="AN317" s="4355"/>
      <c r="AO317" s="4355"/>
      <c r="AP317" s="4355"/>
      <c r="AQ317" s="4355"/>
      <c r="AR317" s="4355"/>
      <c r="AS317" s="4355"/>
      <c r="AT317" s="4356"/>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2">
        <f t="shared" si="152"/>
        <v>0</v>
      </c>
      <c r="H318" s="4353">
        <f t="shared" si="153"/>
        <v>0</v>
      </c>
      <c r="I318" s="4354"/>
      <c r="J318" s="4354"/>
      <c r="K318" s="4354"/>
      <c r="L318" s="4354"/>
      <c r="M318" s="4354"/>
      <c r="N318" s="4354"/>
      <c r="O318" s="4354"/>
      <c r="P318" s="4354"/>
      <c r="Q318" s="4354"/>
      <c r="R318" s="4354"/>
      <c r="S318" s="4354"/>
      <c r="T318" s="4354"/>
      <c r="U318" s="4354"/>
      <c r="V318" s="4354"/>
      <c r="W318" s="4354"/>
      <c r="X318" s="4354"/>
      <c r="Y318" s="4354"/>
      <c r="Z318" s="4354"/>
      <c r="AA318" s="4354"/>
      <c r="AB318" s="4354"/>
      <c r="AC318" s="403">
        <f t="shared" si="154"/>
        <v>0</v>
      </c>
      <c r="AD318" s="4355"/>
      <c r="AE318" s="4355"/>
      <c r="AF318" s="4355"/>
      <c r="AG318" s="4355"/>
      <c r="AH318" s="4355"/>
      <c r="AI318" s="4355"/>
      <c r="AJ318" s="4355"/>
      <c r="AK318" s="4355"/>
      <c r="AL318" s="4355"/>
      <c r="AM318" s="4355"/>
      <c r="AN318" s="4355"/>
      <c r="AO318" s="4355"/>
      <c r="AP318" s="4355"/>
      <c r="AQ318" s="4355"/>
      <c r="AR318" s="4355"/>
      <c r="AS318" s="4355"/>
      <c r="AT318" s="4356"/>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2">
        <f t="shared" si="152"/>
        <v>0</v>
      </c>
      <c r="H319" s="4353">
        <f t="shared" si="153"/>
        <v>0</v>
      </c>
      <c r="I319" s="4354"/>
      <c r="J319" s="4354"/>
      <c r="K319" s="4354"/>
      <c r="L319" s="4354"/>
      <c r="M319" s="4354"/>
      <c r="N319" s="4354"/>
      <c r="O319" s="4354"/>
      <c r="P319" s="4354"/>
      <c r="Q319" s="4354"/>
      <c r="R319" s="4354"/>
      <c r="S319" s="4354"/>
      <c r="T319" s="4354"/>
      <c r="U319" s="4354"/>
      <c r="V319" s="4354"/>
      <c r="W319" s="4354"/>
      <c r="X319" s="4354"/>
      <c r="Y319" s="4354"/>
      <c r="Z319" s="4354"/>
      <c r="AA319" s="4354"/>
      <c r="AB319" s="4354"/>
      <c r="AC319" s="403">
        <f t="shared" si="154"/>
        <v>0</v>
      </c>
      <c r="AD319" s="4355"/>
      <c r="AE319" s="4355"/>
      <c r="AF319" s="4355"/>
      <c r="AG319" s="4355"/>
      <c r="AH319" s="4355"/>
      <c r="AI319" s="4355"/>
      <c r="AJ319" s="4355"/>
      <c r="AK319" s="4355"/>
      <c r="AL319" s="4355"/>
      <c r="AM319" s="4355"/>
      <c r="AN319" s="4355"/>
      <c r="AO319" s="4355"/>
      <c r="AP319" s="4355"/>
      <c r="AQ319" s="4355"/>
      <c r="AR319" s="4355"/>
      <c r="AS319" s="4355"/>
      <c r="AT319" s="4356"/>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2">
        <f t="shared" si="152"/>
        <v>0</v>
      </c>
      <c r="H320" s="4353">
        <f t="shared" si="153"/>
        <v>0</v>
      </c>
      <c r="I320" s="4354"/>
      <c r="J320" s="4354"/>
      <c r="K320" s="4354"/>
      <c r="L320" s="4354"/>
      <c r="M320" s="4354"/>
      <c r="N320" s="4354"/>
      <c r="O320" s="4354"/>
      <c r="P320" s="4354"/>
      <c r="Q320" s="4354"/>
      <c r="R320" s="4354"/>
      <c r="S320" s="4354"/>
      <c r="T320" s="4354"/>
      <c r="U320" s="4354"/>
      <c r="V320" s="4354"/>
      <c r="W320" s="4354"/>
      <c r="X320" s="4354"/>
      <c r="Y320" s="4354"/>
      <c r="Z320" s="4354"/>
      <c r="AA320" s="4354"/>
      <c r="AB320" s="4354"/>
      <c r="AC320" s="403">
        <f t="shared" si="154"/>
        <v>0</v>
      </c>
      <c r="AD320" s="4355"/>
      <c r="AE320" s="4355"/>
      <c r="AF320" s="4355"/>
      <c r="AG320" s="4355"/>
      <c r="AH320" s="4355"/>
      <c r="AI320" s="4355"/>
      <c r="AJ320" s="4355"/>
      <c r="AK320" s="4355"/>
      <c r="AL320" s="4355"/>
      <c r="AM320" s="4355"/>
      <c r="AN320" s="4355"/>
      <c r="AO320" s="4355"/>
      <c r="AP320" s="4355"/>
      <c r="AQ320" s="4355"/>
      <c r="AR320" s="4355"/>
      <c r="AS320" s="4355"/>
      <c r="AT320" s="4356"/>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2">
        <f t="shared" si="152"/>
        <v>0</v>
      </c>
      <c r="H321" s="4353">
        <f t="shared" si="153"/>
        <v>0</v>
      </c>
      <c r="I321" s="4354"/>
      <c r="J321" s="4354"/>
      <c r="K321" s="4354"/>
      <c r="L321" s="4354"/>
      <c r="M321" s="4354"/>
      <c r="N321" s="4354"/>
      <c r="O321" s="4354"/>
      <c r="P321" s="4354"/>
      <c r="Q321" s="4354"/>
      <c r="R321" s="4354"/>
      <c r="S321" s="4354"/>
      <c r="T321" s="4354"/>
      <c r="U321" s="4354"/>
      <c r="V321" s="4354"/>
      <c r="W321" s="4354"/>
      <c r="X321" s="4354"/>
      <c r="Y321" s="4354"/>
      <c r="Z321" s="4354"/>
      <c r="AA321" s="4354"/>
      <c r="AB321" s="4354"/>
      <c r="AC321" s="403">
        <f t="shared" si="154"/>
        <v>0</v>
      </c>
      <c r="AD321" s="4355"/>
      <c r="AE321" s="4355"/>
      <c r="AF321" s="4355"/>
      <c r="AG321" s="4355"/>
      <c r="AH321" s="4355"/>
      <c r="AI321" s="4355"/>
      <c r="AJ321" s="4355"/>
      <c r="AK321" s="4355"/>
      <c r="AL321" s="4355"/>
      <c r="AM321" s="4355"/>
      <c r="AN321" s="4355"/>
      <c r="AO321" s="4355"/>
      <c r="AP321" s="4355"/>
      <c r="AQ321" s="4355"/>
      <c r="AR321" s="4355"/>
      <c r="AS321" s="4355"/>
      <c r="AT321" s="4356"/>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2">
        <f t="shared" si="152"/>
        <v>0</v>
      </c>
      <c r="H322" s="4353">
        <f t="shared" si="153"/>
        <v>0</v>
      </c>
      <c r="I322" s="4354"/>
      <c r="J322" s="4354"/>
      <c r="K322" s="4354"/>
      <c r="L322" s="4354"/>
      <c r="M322" s="4354"/>
      <c r="N322" s="4354"/>
      <c r="O322" s="4354"/>
      <c r="P322" s="4354"/>
      <c r="Q322" s="4354"/>
      <c r="R322" s="4354"/>
      <c r="S322" s="4354"/>
      <c r="T322" s="4354"/>
      <c r="U322" s="4354"/>
      <c r="V322" s="4354"/>
      <c r="W322" s="4354"/>
      <c r="X322" s="4354"/>
      <c r="Y322" s="4354"/>
      <c r="Z322" s="4354"/>
      <c r="AA322" s="4354"/>
      <c r="AB322" s="4354"/>
      <c r="AC322" s="403">
        <f t="shared" si="154"/>
        <v>0</v>
      </c>
      <c r="AD322" s="4355"/>
      <c r="AE322" s="4355"/>
      <c r="AF322" s="4355"/>
      <c r="AG322" s="4355"/>
      <c r="AH322" s="4355"/>
      <c r="AI322" s="4355"/>
      <c r="AJ322" s="4355"/>
      <c r="AK322" s="4355"/>
      <c r="AL322" s="4355"/>
      <c r="AM322" s="4355"/>
      <c r="AN322" s="4355"/>
      <c r="AO322" s="4355"/>
      <c r="AP322" s="4355"/>
      <c r="AQ322" s="4355"/>
      <c r="AR322" s="4355"/>
      <c r="AS322" s="4355"/>
      <c r="AT322" s="4356"/>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2">
        <f t="shared" si="152"/>
        <v>0</v>
      </c>
      <c r="H323" s="4353">
        <f t="shared" si="153"/>
        <v>0</v>
      </c>
      <c r="I323" s="4354"/>
      <c r="J323" s="4354"/>
      <c r="K323" s="4354"/>
      <c r="L323" s="4354"/>
      <c r="M323" s="4354"/>
      <c r="N323" s="4354"/>
      <c r="O323" s="4354"/>
      <c r="P323" s="4354"/>
      <c r="Q323" s="4354"/>
      <c r="R323" s="4354"/>
      <c r="S323" s="4354"/>
      <c r="T323" s="4354"/>
      <c r="U323" s="4354"/>
      <c r="V323" s="4354"/>
      <c r="W323" s="4354"/>
      <c r="X323" s="4354"/>
      <c r="Y323" s="4354"/>
      <c r="Z323" s="4354"/>
      <c r="AA323" s="4354"/>
      <c r="AB323" s="4354"/>
      <c r="AC323" s="403">
        <f t="shared" si="154"/>
        <v>0</v>
      </c>
      <c r="AD323" s="4355"/>
      <c r="AE323" s="4355"/>
      <c r="AF323" s="4355"/>
      <c r="AG323" s="4355"/>
      <c r="AH323" s="4355"/>
      <c r="AI323" s="4355"/>
      <c r="AJ323" s="4355"/>
      <c r="AK323" s="4355"/>
      <c r="AL323" s="4355"/>
      <c r="AM323" s="4355"/>
      <c r="AN323" s="4355"/>
      <c r="AO323" s="4355"/>
      <c r="AP323" s="4355"/>
      <c r="AQ323" s="4355"/>
      <c r="AR323" s="4355"/>
      <c r="AS323" s="4355"/>
      <c r="AT323" s="4356"/>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2">
        <f t="shared" si="152"/>
        <v>0</v>
      </c>
      <c r="H324" s="4353">
        <f t="shared" si="153"/>
        <v>0</v>
      </c>
      <c r="I324" s="4354"/>
      <c r="J324" s="4354"/>
      <c r="K324" s="4354"/>
      <c r="L324" s="4354"/>
      <c r="M324" s="4354"/>
      <c r="N324" s="4354"/>
      <c r="O324" s="4354"/>
      <c r="P324" s="4354"/>
      <c r="Q324" s="4354"/>
      <c r="R324" s="4354"/>
      <c r="S324" s="4354"/>
      <c r="T324" s="4354"/>
      <c r="U324" s="4354"/>
      <c r="V324" s="4354"/>
      <c r="W324" s="4354"/>
      <c r="X324" s="4354"/>
      <c r="Y324" s="4354"/>
      <c r="Z324" s="4354"/>
      <c r="AA324" s="4354"/>
      <c r="AB324" s="4354"/>
      <c r="AC324" s="403">
        <f t="shared" si="154"/>
        <v>0</v>
      </c>
      <c r="AD324" s="4355"/>
      <c r="AE324" s="4355"/>
      <c r="AF324" s="4355"/>
      <c r="AG324" s="4355"/>
      <c r="AH324" s="4355"/>
      <c r="AI324" s="4355"/>
      <c r="AJ324" s="4355"/>
      <c r="AK324" s="4355"/>
      <c r="AL324" s="4355"/>
      <c r="AM324" s="4355"/>
      <c r="AN324" s="4355"/>
      <c r="AO324" s="4355"/>
      <c r="AP324" s="4355"/>
      <c r="AQ324" s="4355"/>
      <c r="AR324" s="4355"/>
      <c r="AS324" s="4355"/>
      <c r="AT324" s="4356"/>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2">
        <f t="shared" si="152"/>
        <v>0</v>
      </c>
      <c r="H325" s="4353">
        <f t="shared" si="153"/>
        <v>0</v>
      </c>
      <c r="I325" s="4354"/>
      <c r="J325" s="4354"/>
      <c r="K325" s="4354"/>
      <c r="L325" s="4354"/>
      <c r="M325" s="4354"/>
      <c r="N325" s="4354"/>
      <c r="O325" s="4354"/>
      <c r="P325" s="4354"/>
      <c r="Q325" s="4354"/>
      <c r="R325" s="4354"/>
      <c r="S325" s="4354"/>
      <c r="T325" s="4354"/>
      <c r="U325" s="4354"/>
      <c r="V325" s="4354"/>
      <c r="W325" s="4354"/>
      <c r="X325" s="4354"/>
      <c r="Y325" s="4354"/>
      <c r="Z325" s="4354"/>
      <c r="AA325" s="4354"/>
      <c r="AB325" s="4354"/>
      <c r="AC325" s="403">
        <f t="shared" si="154"/>
        <v>0</v>
      </c>
      <c r="AD325" s="4355"/>
      <c r="AE325" s="4355"/>
      <c r="AF325" s="4355"/>
      <c r="AG325" s="4355"/>
      <c r="AH325" s="4355"/>
      <c r="AI325" s="4355"/>
      <c r="AJ325" s="4355"/>
      <c r="AK325" s="4355"/>
      <c r="AL325" s="4355"/>
      <c r="AM325" s="4355"/>
      <c r="AN325" s="4355"/>
      <c r="AO325" s="4355"/>
      <c r="AP325" s="4355"/>
      <c r="AQ325" s="4355"/>
      <c r="AR325" s="4355"/>
      <c r="AS325" s="4355"/>
      <c r="AT325" s="4356"/>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2">
        <f t="shared" si="152"/>
        <v>0</v>
      </c>
      <c r="H326" s="4353">
        <f t="shared" si="153"/>
        <v>0</v>
      </c>
      <c r="I326" s="4354"/>
      <c r="J326" s="4354"/>
      <c r="K326" s="4354"/>
      <c r="L326" s="4354"/>
      <c r="M326" s="4354"/>
      <c r="N326" s="4354"/>
      <c r="O326" s="4354"/>
      <c r="P326" s="4354"/>
      <c r="Q326" s="4354"/>
      <c r="R326" s="4354"/>
      <c r="S326" s="4354"/>
      <c r="T326" s="4354"/>
      <c r="U326" s="4354"/>
      <c r="V326" s="4354"/>
      <c r="W326" s="4354"/>
      <c r="X326" s="4354"/>
      <c r="Y326" s="4354"/>
      <c r="Z326" s="4354"/>
      <c r="AA326" s="4354"/>
      <c r="AB326" s="4354"/>
      <c r="AC326" s="403">
        <f t="shared" si="154"/>
        <v>0</v>
      </c>
      <c r="AD326" s="4355"/>
      <c r="AE326" s="4355"/>
      <c r="AF326" s="4355"/>
      <c r="AG326" s="4355"/>
      <c r="AH326" s="4355"/>
      <c r="AI326" s="4355"/>
      <c r="AJ326" s="4355"/>
      <c r="AK326" s="4355"/>
      <c r="AL326" s="4355"/>
      <c r="AM326" s="4355"/>
      <c r="AN326" s="4355"/>
      <c r="AO326" s="4355"/>
      <c r="AP326" s="4355"/>
      <c r="AQ326" s="4355"/>
      <c r="AR326" s="4355"/>
      <c r="AS326" s="4355"/>
      <c r="AT326" s="4356"/>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2">
        <f t="shared" si="152"/>
        <v>0</v>
      </c>
      <c r="H327" s="4353">
        <f t="shared" si="153"/>
        <v>0</v>
      </c>
      <c r="I327" s="4354"/>
      <c r="J327" s="4354"/>
      <c r="K327" s="4354"/>
      <c r="L327" s="4354"/>
      <c r="M327" s="4354"/>
      <c r="N327" s="4354"/>
      <c r="O327" s="4354"/>
      <c r="P327" s="4354"/>
      <c r="Q327" s="4354"/>
      <c r="R327" s="4354"/>
      <c r="S327" s="4354"/>
      <c r="T327" s="4354"/>
      <c r="U327" s="4354"/>
      <c r="V327" s="4354"/>
      <c r="W327" s="4354"/>
      <c r="X327" s="4354"/>
      <c r="Y327" s="4354"/>
      <c r="Z327" s="4354"/>
      <c r="AA327" s="4354"/>
      <c r="AB327" s="4354"/>
      <c r="AC327" s="403">
        <f t="shared" si="154"/>
        <v>0</v>
      </c>
      <c r="AD327" s="4355"/>
      <c r="AE327" s="4355"/>
      <c r="AF327" s="4355"/>
      <c r="AG327" s="4355"/>
      <c r="AH327" s="4355"/>
      <c r="AI327" s="4355"/>
      <c r="AJ327" s="4355"/>
      <c r="AK327" s="4355"/>
      <c r="AL327" s="4355"/>
      <c r="AM327" s="4355"/>
      <c r="AN327" s="4355"/>
      <c r="AO327" s="4355"/>
      <c r="AP327" s="4355"/>
      <c r="AQ327" s="4355"/>
      <c r="AR327" s="4355"/>
      <c r="AS327" s="4355"/>
      <c r="AT327" s="4356"/>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2">
        <f t="shared" si="152"/>
        <v>0</v>
      </c>
      <c r="H328" s="4353">
        <f t="shared" si="153"/>
        <v>0</v>
      </c>
      <c r="I328" s="4354"/>
      <c r="J328" s="4354"/>
      <c r="K328" s="4354"/>
      <c r="L328" s="4354"/>
      <c r="M328" s="4354"/>
      <c r="N328" s="4354"/>
      <c r="O328" s="4354"/>
      <c r="P328" s="4354"/>
      <c r="Q328" s="4354"/>
      <c r="R328" s="4354"/>
      <c r="S328" s="4354"/>
      <c r="T328" s="4354"/>
      <c r="U328" s="4354"/>
      <c r="V328" s="4354"/>
      <c r="W328" s="4354"/>
      <c r="X328" s="4354"/>
      <c r="Y328" s="4354"/>
      <c r="Z328" s="4354"/>
      <c r="AA328" s="4354"/>
      <c r="AB328" s="4354"/>
      <c r="AC328" s="403">
        <f t="shared" si="154"/>
        <v>0</v>
      </c>
      <c r="AD328" s="4355"/>
      <c r="AE328" s="4355"/>
      <c r="AF328" s="4355"/>
      <c r="AG328" s="4355"/>
      <c r="AH328" s="4355"/>
      <c r="AI328" s="4355"/>
      <c r="AJ328" s="4355"/>
      <c r="AK328" s="4355"/>
      <c r="AL328" s="4355"/>
      <c r="AM328" s="4355"/>
      <c r="AN328" s="4355"/>
      <c r="AO328" s="4355"/>
      <c r="AP328" s="4355"/>
      <c r="AQ328" s="4355"/>
      <c r="AR328" s="4355"/>
      <c r="AS328" s="4355"/>
      <c r="AT328" s="4356"/>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2">
        <f t="shared" si="152"/>
        <v>0</v>
      </c>
      <c r="H329" s="4353">
        <f t="shared" si="153"/>
        <v>0</v>
      </c>
      <c r="I329" s="4354"/>
      <c r="J329" s="4354"/>
      <c r="K329" s="4354"/>
      <c r="L329" s="4354"/>
      <c r="M329" s="4354"/>
      <c r="N329" s="4354"/>
      <c r="O329" s="4354"/>
      <c r="P329" s="4354"/>
      <c r="Q329" s="4354"/>
      <c r="R329" s="4354"/>
      <c r="S329" s="4354"/>
      <c r="T329" s="4354"/>
      <c r="U329" s="4354"/>
      <c r="V329" s="4354"/>
      <c r="W329" s="4354"/>
      <c r="X329" s="4354"/>
      <c r="Y329" s="4354"/>
      <c r="Z329" s="4354"/>
      <c r="AA329" s="4354"/>
      <c r="AB329" s="4354"/>
      <c r="AC329" s="403">
        <f t="shared" si="154"/>
        <v>0</v>
      </c>
      <c r="AD329" s="4355"/>
      <c r="AE329" s="4355"/>
      <c r="AF329" s="4355"/>
      <c r="AG329" s="4355"/>
      <c r="AH329" s="4355"/>
      <c r="AI329" s="4355"/>
      <c r="AJ329" s="4355"/>
      <c r="AK329" s="4355"/>
      <c r="AL329" s="4355"/>
      <c r="AM329" s="4355"/>
      <c r="AN329" s="4355"/>
      <c r="AO329" s="4355"/>
      <c r="AP329" s="4355"/>
      <c r="AQ329" s="4355"/>
      <c r="AR329" s="4355"/>
      <c r="AS329" s="4355"/>
      <c r="AT329" s="4356"/>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2">
        <f t="shared" si="152"/>
        <v>0</v>
      </c>
      <c r="H330" s="4353">
        <f t="shared" si="153"/>
        <v>0</v>
      </c>
      <c r="I330" s="4354"/>
      <c r="J330" s="4354"/>
      <c r="K330" s="4354"/>
      <c r="L330" s="4354"/>
      <c r="M330" s="4354"/>
      <c r="N330" s="4354"/>
      <c r="O330" s="4354"/>
      <c r="P330" s="4354"/>
      <c r="Q330" s="4354"/>
      <c r="R330" s="4354"/>
      <c r="S330" s="4354"/>
      <c r="T330" s="4354"/>
      <c r="U330" s="4354"/>
      <c r="V330" s="4354"/>
      <c r="W330" s="4354"/>
      <c r="X330" s="4354"/>
      <c r="Y330" s="4354"/>
      <c r="Z330" s="4354"/>
      <c r="AA330" s="4354"/>
      <c r="AB330" s="4354"/>
      <c r="AC330" s="403">
        <f t="shared" si="154"/>
        <v>0</v>
      </c>
      <c r="AD330" s="4355"/>
      <c r="AE330" s="4355"/>
      <c r="AF330" s="4355"/>
      <c r="AG330" s="4355"/>
      <c r="AH330" s="4355"/>
      <c r="AI330" s="4355"/>
      <c r="AJ330" s="4355"/>
      <c r="AK330" s="4355"/>
      <c r="AL330" s="4355"/>
      <c r="AM330" s="4355"/>
      <c r="AN330" s="4355"/>
      <c r="AO330" s="4355"/>
      <c r="AP330" s="4355"/>
      <c r="AQ330" s="4355"/>
      <c r="AR330" s="4355"/>
      <c r="AS330" s="4355"/>
      <c r="AT330" s="4356"/>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2">
        <f t="shared" si="152"/>
        <v>0</v>
      </c>
      <c r="H331" s="4353">
        <f t="shared" si="153"/>
        <v>0</v>
      </c>
      <c r="I331" s="4354"/>
      <c r="J331" s="4354"/>
      <c r="K331" s="4354"/>
      <c r="L331" s="4354"/>
      <c r="M331" s="4354"/>
      <c r="N331" s="4354"/>
      <c r="O331" s="4354"/>
      <c r="P331" s="4354"/>
      <c r="Q331" s="4354"/>
      <c r="R331" s="4354"/>
      <c r="S331" s="4354"/>
      <c r="T331" s="4354"/>
      <c r="U331" s="4354"/>
      <c r="V331" s="4354"/>
      <c r="W331" s="4354"/>
      <c r="X331" s="4354"/>
      <c r="Y331" s="4354"/>
      <c r="Z331" s="4354"/>
      <c r="AA331" s="4354"/>
      <c r="AB331" s="4354"/>
      <c r="AC331" s="403">
        <f t="shared" si="154"/>
        <v>0</v>
      </c>
      <c r="AD331" s="4355"/>
      <c r="AE331" s="4355"/>
      <c r="AF331" s="4355"/>
      <c r="AG331" s="4355"/>
      <c r="AH331" s="4355"/>
      <c r="AI331" s="4355"/>
      <c r="AJ331" s="4355"/>
      <c r="AK331" s="4355"/>
      <c r="AL331" s="4355"/>
      <c r="AM331" s="4355"/>
      <c r="AN331" s="4355"/>
      <c r="AO331" s="4355"/>
      <c r="AP331" s="4355"/>
      <c r="AQ331" s="4355"/>
      <c r="AR331" s="4355"/>
      <c r="AS331" s="4355"/>
      <c r="AT331" s="4356"/>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2">
        <f t="shared" ref="G332:G363" si="181">H332+AC332+AT332</f>
        <v>0</v>
      </c>
      <c r="H332" s="4353">
        <f t="shared" ref="H332:H363" si="182">SUMIF(I$12:AB$12,"总值",I332:AB332)</f>
        <v>0</v>
      </c>
      <c r="I332" s="4354"/>
      <c r="J332" s="4354"/>
      <c r="K332" s="4354"/>
      <c r="L332" s="4354"/>
      <c r="M332" s="4354"/>
      <c r="N332" s="4354"/>
      <c r="O332" s="4354"/>
      <c r="P332" s="4354"/>
      <c r="Q332" s="4354"/>
      <c r="R332" s="4354"/>
      <c r="S332" s="4354"/>
      <c r="T332" s="4354"/>
      <c r="U332" s="4354"/>
      <c r="V332" s="4354"/>
      <c r="W332" s="4354"/>
      <c r="X332" s="4354"/>
      <c r="Y332" s="4354"/>
      <c r="Z332" s="4354"/>
      <c r="AA332" s="4354"/>
      <c r="AB332" s="4354"/>
      <c r="AC332" s="403">
        <f t="shared" ref="AC332:AC363" si="183">SUMIF(AD$12:AS$12,"总值",AD332:AS332)</f>
        <v>0</v>
      </c>
      <c r="AD332" s="4355"/>
      <c r="AE332" s="4355"/>
      <c r="AF332" s="4355"/>
      <c r="AG332" s="4355"/>
      <c r="AH332" s="4355"/>
      <c r="AI332" s="4355"/>
      <c r="AJ332" s="4355"/>
      <c r="AK332" s="4355"/>
      <c r="AL332" s="4355"/>
      <c r="AM332" s="4355"/>
      <c r="AN332" s="4355"/>
      <c r="AO332" s="4355"/>
      <c r="AP332" s="4355"/>
      <c r="AQ332" s="4355"/>
      <c r="AR332" s="4355"/>
      <c r="AS332" s="4355"/>
      <c r="AT332" s="4356"/>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2">
        <f t="shared" si="181"/>
        <v>0</v>
      </c>
      <c r="H333" s="4353">
        <f t="shared" si="182"/>
        <v>0</v>
      </c>
      <c r="I333" s="4354"/>
      <c r="J333" s="4354"/>
      <c r="K333" s="4354"/>
      <c r="L333" s="4354"/>
      <c r="M333" s="4354"/>
      <c r="N333" s="4354"/>
      <c r="O333" s="4354"/>
      <c r="P333" s="4354"/>
      <c r="Q333" s="4354"/>
      <c r="R333" s="4354"/>
      <c r="S333" s="4354"/>
      <c r="T333" s="4354"/>
      <c r="U333" s="4354"/>
      <c r="V333" s="4354"/>
      <c r="W333" s="4354"/>
      <c r="X333" s="4354"/>
      <c r="Y333" s="4354"/>
      <c r="Z333" s="4354"/>
      <c r="AA333" s="4354"/>
      <c r="AB333" s="4354"/>
      <c r="AC333" s="403">
        <f t="shared" si="183"/>
        <v>0</v>
      </c>
      <c r="AD333" s="4355"/>
      <c r="AE333" s="4355"/>
      <c r="AF333" s="4355"/>
      <c r="AG333" s="4355"/>
      <c r="AH333" s="4355"/>
      <c r="AI333" s="4355"/>
      <c r="AJ333" s="4355"/>
      <c r="AK333" s="4355"/>
      <c r="AL333" s="4355"/>
      <c r="AM333" s="4355"/>
      <c r="AN333" s="4355"/>
      <c r="AO333" s="4355"/>
      <c r="AP333" s="4355"/>
      <c r="AQ333" s="4355"/>
      <c r="AR333" s="4355"/>
      <c r="AS333" s="4355"/>
      <c r="AT333" s="4356"/>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2">
        <f t="shared" si="181"/>
        <v>0</v>
      </c>
      <c r="H334" s="4353">
        <f t="shared" si="182"/>
        <v>0</v>
      </c>
      <c r="I334" s="4354"/>
      <c r="J334" s="4354"/>
      <c r="K334" s="4354"/>
      <c r="L334" s="4354"/>
      <c r="M334" s="4354"/>
      <c r="N334" s="4354"/>
      <c r="O334" s="4354"/>
      <c r="P334" s="4354"/>
      <c r="Q334" s="4354"/>
      <c r="R334" s="4354"/>
      <c r="S334" s="4354"/>
      <c r="T334" s="4354"/>
      <c r="U334" s="4354"/>
      <c r="V334" s="4354"/>
      <c r="W334" s="4354"/>
      <c r="X334" s="4354"/>
      <c r="Y334" s="4354"/>
      <c r="Z334" s="4354"/>
      <c r="AA334" s="4354"/>
      <c r="AB334" s="4354"/>
      <c r="AC334" s="403">
        <f t="shared" si="183"/>
        <v>0</v>
      </c>
      <c r="AD334" s="4355"/>
      <c r="AE334" s="4355"/>
      <c r="AF334" s="4355"/>
      <c r="AG334" s="4355"/>
      <c r="AH334" s="4355"/>
      <c r="AI334" s="4355"/>
      <c r="AJ334" s="4355"/>
      <c r="AK334" s="4355"/>
      <c r="AL334" s="4355"/>
      <c r="AM334" s="4355"/>
      <c r="AN334" s="4355"/>
      <c r="AO334" s="4355"/>
      <c r="AP334" s="4355"/>
      <c r="AQ334" s="4355"/>
      <c r="AR334" s="4355"/>
      <c r="AS334" s="4355"/>
      <c r="AT334" s="4356"/>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2">
        <f t="shared" si="181"/>
        <v>0</v>
      </c>
      <c r="H335" s="4353">
        <f t="shared" si="182"/>
        <v>0</v>
      </c>
      <c r="I335" s="4354"/>
      <c r="J335" s="4354"/>
      <c r="K335" s="4354"/>
      <c r="L335" s="4354"/>
      <c r="M335" s="4354"/>
      <c r="N335" s="4354"/>
      <c r="O335" s="4354"/>
      <c r="P335" s="4354"/>
      <c r="Q335" s="4354"/>
      <c r="R335" s="4354"/>
      <c r="S335" s="4354"/>
      <c r="T335" s="4354"/>
      <c r="U335" s="4354"/>
      <c r="V335" s="4354"/>
      <c r="W335" s="4354"/>
      <c r="X335" s="4354"/>
      <c r="Y335" s="4354"/>
      <c r="Z335" s="4354"/>
      <c r="AA335" s="4354"/>
      <c r="AB335" s="4354"/>
      <c r="AC335" s="403">
        <f t="shared" si="183"/>
        <v>0</v>
      </c>
      <c r="AD335" s="4355"/>
      <c r="AE335" s="4355"/>
      <c r="AF335" s="4355"/>
      <c r="AG335" s="4355"/>
      <c r="AH335" s="4355"/>
      <c r="AI335" s="4355"/>
      <c r="AJ335" s="4355"/>
      <c r="AK335" s="4355"/>
      <c r="AL335" s="4355"/>
      <c r="AM335" s="4355"/>
      <c r="AN335" s="4355"/>
      <c r="AO335" s="4355"/>
      <c r="AP335" s="4355"/>
      <c r="AQ335" s="4355"/>
      <c r="AR335" s="4355"/>
      <c r="AS335" s="4355"/>
      <c r="AT335" s="4356"/>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2">
        <f t="shared" si="181"/>
        <v>0</v>
      </c>
      <c r="H336" s="4353">
        <f t="shared" si="182"/>
        <v>0</v>
      </c>
      <c r="I336" s="4354"/>
      <c r="J336" s="4354"/>
      <c r="K336" s="4354"/>
      <c r="L336" s="4354"/>
      <c r="M336" s="4354"/>
      <c r="N336" s="4354"/>
      <c r="O336" s="4354"/>
      <c r="P336" s="4354"/>
      <c r="Q336" s="4354"/>
      <c r="R336" s="4354"/>
      <c r="S336" s="4354"/>
      <c r="T336" s="4354"/>
      <c r="U336" s="4354"/>
      <c r="V336" s="4354"/>
      <c r="W336" s="4354"/>
      <c r="X336" s="4354"/>
      <c r="Y336" s="4354"/>
      <c r="Z336" s="4354"/>
      <c r="AA336" s="4354"/>
      <c r="AB336" s="4354"/>
      <c r="AC336" s="403">
        <f t="shared" si="183"/>
        <v>0</v>
      </c>
      <c r="AD336" s="4355"/>
      <c r="AE336" s="4355"/>
      <c r="AF336" s="4355"/>
      <c r="AG336" s="4355"/>
      <c r="AH336" s="4355"/>
      <c r="AI336" s="4355"/>
      <c r="AJ336" s="4355"/>
      <c r="AK336" s="4355"/>
      <c r="AL336" s="4355"/>
      <c r="AM336" s="4355"/>
      <c r="AN336" s="4355"/>
      <c r="AO336" s="4355"/>
      <c r="AP336" s="4355"/>
      <c r="AQ336" s="4355"/>
      <c r="AR336" s="4355"/>
      <c r="AS336" s="4355"/>
      <c r="AT336" s="4356"/>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2">
        <f t="shared" si="181"/>
        <v>0</v>
      </c>
      <c r="H337" s="4353">
        <f t="shared" si="182"/>
        <v>0</v>
      </c>
      <c r="I337" s="4354"/>
      <c r="J337" s="4354"/>
      <c r="K337" s="4354"/>
      <c r="L337" s="4354"/>
      <c r="M337" s="4354"/>
      <c r="N337" s="4354"/>
      <c r="O337" s="4354"/>
      <c r="P337" s="4354"/>
      <c r="Q337" s="4354"/>
      <c r="R337" s="4354"/>
      <c r="S337" s="4354"/>
      <c r="T337" s="4354"/>
      <c r="U337" s="4354"/>
      <c r="V337" s="4354"/>
      <c r="W337" s="4354"/>
      <c r="X337" s="4354"/>
      <c r="Y337" s="4354"/>
      <c r="Z337" s="4354"/>
      <c r="AA337" s="4354"/>
      <c r="AB337" s="4354"/>
      <c r="AC337" s="403">
        <f t="shared" si="183"/>
        <v>0</v>
      </c>
      <c r="AD337" s="4355"/>
      <c r="AE337" s="4355"/>
      <c r="AF337" s="4355"/>
      <c r="AG337" s="4355"/>
      <c r="AH337" s="4355"/>
      <c r="AI337" s="4355"/>
      <c r="AJ337" s="4355"/>
      <c r="AK337" s="4355"/>
      <c r="AL337" s="4355"/>
      <c r="AM337" s="4355"/>
      <c r="AN337" s="4355"/>
      <c r="AO337" s="4355"/>
      <c r="AP337" s="4355"/>
      <c r="AQ337" s="4355"/>
      <c r="AR337" s="4355"/>
      <c r="AS337" s="4355"/>
      <c r="AT337" s="4356"/>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2">
        <f t="shared" si="181"/>
        <v>0</v>
      </c>
      <c r="H338" s="4353">
        <f t="shared" si="182"/>
        <v>0</v>
      </c>
      <c r="I338" s="4354"/>
      <c r="J338" s="4354"/>
      <c r="K338" s="4354"/>
      <c r="L338" s="4354"/>
      <c r="M338" s="4354"/>
      <c r="N338" s="4354"/>
      <c r="O338" s="4354"/>
      <c r="P338" s="4354"/>
      <c r="Q338" s="4354"/>
      <c r="R338" s="4354"/>
      <c r="S338" s="4354"/>
      <c r="T338" s="4354"/>
      <c r="U338" s="4354"/>
      <c r="V338" s="4354"/>
      <c r="W338" s="4354"/>
      <c r="X338" s="4354"/>
      <c r="Y338" s="4354"/>
      <c r="Z338" s="4354"/>
      <c r="AA338" s="4354"/>
      <c r="AB338" s="4354"/>
      <c r="AC338" s="403">
        <f t="shared" si="183"/>
        <v>0</v>
      </c>
      <c r="AD338" s="4355"/>
      <c r="AE338" s="4355"/>
      <c r="AF338" s="4355"/>
      <c r="AG338" s="4355"/>
      <c r="AH338" s="4355"/>
      <c r="AI338" s="4355"/>
      <c r="AJ338" s="4355"/>
      <c r="AK338" s="4355"/>
      <c r="AL338" s="4355"/>
      <c r="AM338" s="4355"/>
      <c r="AN338" s="4355"/>
      <c r="AO338" s="4355"/>
      <c r="AP338" s="4355"/>
      <c r="AQ338" s="4355"/>
      <c r="AR338" s="4355"/>
      <c r="AS338" s="4355"/>
      <c r="AT338" s="4356"/>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2">
        <f t="shared" si="181"/>
        <v>0</v>
      </c>
      <c r="H339" s="4353">
        <f t="shared" si="182"/>
        <v>0</v>
      </c>
      <c r="I339" s="4354"/>
      <c r="J339" s="4354"/>
      <c r="K339" s="4354"/>
      <c r="L339" s="4354"/>
      <c r="M339" s="4354"/>
      <c r="N339" s="4354"/>
      <c r="O339" s="4354"/>
      <c r="P339" s="4354"/>
      <c r="Q339" s="4354"/>
      <c r="R339" s="4354"/>
      <c r="S339" s="4354"/>
      <c r="T339" s="4354"/>
      <c r="U339" s="4354"/>
      <c r="V339" s="4354"/>
      <c r="W339" s="4354"/>
      <c r="X339" s="4354"/>
      <c r="Y339" s="4354"/>
      <c r="Z339" s="4354"/>
      <c r="AA339" s="4354"/>
      <c r="AB339" s="4354"/>
      <c r="AC339" s="403">
        <f t="shared" si="183"/>
        <v>0</v>
      </c>
      <c r="AD339" s="4355"/>
      <c r="AE339" s="4355"/>
      <c r="AF339" s="4355"/>
      <c r="AG339" s="4355"/>
      <c r="AH339" s="4355"/>
      <c r="AI339" s="4355"/>
      <c r="AJ339" s="4355"/>
      <c r="AK339" s="4355"/>
      <c r="AL339" s="4355"/>
      <c r="AM339" s="4355"/>
      <c r="AN339" s="4355"/>
      <c r="AO339" s="4355"/>
      <c r="AP339" s="4355"/>
      <c r="AQ339" s="4355"/>
      <c r="AR339" s="4355"/>
      <c r="AS339" s="4355"/>
      <c r="AT339" s="4356"/>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2">
        <f t="shared" si="181"/>
        <v>0</v>
      </c>
      <c r="H340" s="4353">
        <f t="shared" si="182"/>
        <v>0</v>
      </c>
      <c r="I340" s="4354"/>
      <c r="J340" s="4354"/>
      <c r="K340" s="4354"/>
      <c r="L340" s="4354"/>
      <c r="M340" s="4354"/>
      <c r="N340" s="4354"/>
      <c r="O340" s="4354"/>
      <c r="P340" s="4354"/>
      <c r="Q340" s="4354"/>
      <c r="R340" s="4354"/>
      <c r="S340" s="4354"/>
      <c r="T340" s="4354"/>
      <c r="U340" s="4354"/>
      <c r="V340" s="4354"/>
      <c r="W340" s="4354"/>
      <c r="X340" s="4354"/>
      <c r="Y340" s="4354"/>
      <c r="Z340" s="4354"/>
      <c r="AA340" s="4354"/>
      <c r="AB340" s="4354"/>
      <c r="AC340" s="403">
        <f t="shared" si="183"/>
        <v>0</v>
      </c>
      <c r="AD340" s="4355"/>
      <c r="AE340" s="4355"/>
      <c r="AF340" s="4355"/>
      <c r="AG340" s="4355"/>
      <c r="AH340" s="4355"/>
      <c r="AI340" s="4355"/>
      <c r="AJ340" s="4355"/>
      <c r="AK340" s="4355"/>
      <c r="AL340" s="4355"/>
      <c r="AM340" s="4355"/>
      <c r="AN340" s="4355"/>
      <c r="AO340" s="4355"/>
      <c r="AP340" s="4355"/>
      <c r="AQ340" s="4355"/>
      <c r="AR340" s="4355"/>
      <c r="AS340" s="4355"/>
      <c r="AT340" s="4356"/>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2">
        <f t="shared" si="181"/>
        <v>0</v>
      </c>
      <c r="H341" s="4353">
        <f t="shared" si="182"/>
        <v>0</v>
      </c>
      <c r="I341" s="4354"/>
      <c r="J341" s="4354"/>
      <c r="K341" s="4354"/>
      <c r="L341" s="4354"/>
      <c r="M341" s="4354"/>
      <c r="N341" s="4354"/>
      <c r="O341" s="4354"/>
      <c r="P341" s="4354"/>
      <c r="Q341" s="4354"/>
      <c r="R341" s="4354"/>
      <c r="S341" s="4354"/>
      <c r="T341" s="4354"/>
      <c r="U341" s="4354"/>
      <c r="V341" s="4354"/>
      <c r="W341" s="4354"/>
      <c r="X341" s="4354"/>
      <c r="Y341" s="4354"/>
      <c r="Z341" s="4354"/>
      <c r="AA341" s="4354"/>
      <c r="AB341" s="4354"/>
      <c r="AC341" s="403">
        <f t="shared" si="183"/>
        <v>0</v>
      </c>
      <c r="AD341" s="4355"/>
      <c r="AE341" s="4355"/>
      <c r="AF341" s="4355"/>
      <c r="AG341" s="4355"/>
      <c r="AH341" s="4355"/>
      <c r="AI341" s="4355"/>
      <c r="AJ341" s="4355"/>
      <c r="AK341" s="4355"/>
      <c r="AL341" s="4355"/>
      <c r="AM341" s="4355"/>
      <c r="AN341" s="4355"/>
      <c r="AO341" s="4355"/>
      <c r="AP341" s="4355"/>
      <c r="AQ341" s="4355"/>
      <c r="AR341" s="4355"/>
      <c r="AS341" s="4355"/>
      <c r="AT341" s="4356"/>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2">
        <f t="shared" si="181"/>
        <v>0</v>
      </c>
      <c r="H342" s="4353">
        <f t="shared" si="182"/>
        <v>0</v>
      </c>
      <c r="I342" s="4354"/>
      <c r="J342" s="4354"/>
      <c r="K342" s="4354"/>
      <c r="L342" s="4354"/>
      <c r="M342" s="4354"/>
      <c r="N342" s="4354"/>
      <c r="O342" s="4354"/>
      <c r="P342" s="4354"/>
      <c r="Q342" s="4354"/>
      <c r="R342" s="4354"/>
      <c r="S342" s="4354"/>
      <c r="T342" s="4354"/>
      <c r="U342" s="4354"/>
      <c r="V342" s="4354"/>
      <c r="W342" s="4354"/>
      <c r="X342" s="4354"/>
      <c r="Y342" s="4354"/>
      <c r="Z342" s="4354"/>
      <c r="AA342" s="4354"/>
      <c r="AB342" s="4354"/>
      <c r="AC342" s="403">
        <f t="shared" si="183"/>
        <v>0</v>
      </c>
      <c r="AD342" s="4355"/>
      <c r="AE342" s="4355"/>
      <c r="AF342" s="4355"/>
      <c r="AG342" s="4355"/>
      <c r="AH342" s="4355"/>
      <c r="AI342" s="4355"/>
      <c r="AJ342" s="4355"/>
      <c r="AK342" s="4355"/>
      <c r="AL342" s="4355"/>
      <c r="AM342" s="4355"/>
      <c r="AN342" s="4355"/>
      <c r="AO342" s="4355"/>
      <c r="AP342" s="4355"/>
      <c r="AQ342" s="4355"/>
      <c r="AR342" s="4355"/>
      <c r="AS342" s="4355"/>
      <c r="AT342" s="4356"/>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2">
        <f t="shared" si="181"/>
        <v>0</v>
      </c>
      <c r="H343" s="4353">
        <f t="shared" si="182"/>
        <v>0</v>
      </c>
      <c r="I343" s="4354"/>
      <c r="J343" s="4354"/>
      <c r="K343" s="4354"/>
      <c r="L343" s="4354"/>
      <c r="M343" s="4354"/>
      <c r="N343" s="4354"/>
      <c r="O343" s="4354"/>
      <c r="P343" s="4354"/>
      <c r="Q343" s="4354"/>
      <c r="R343" s="4354"/>
      <c r="S343" s="4354"/>
      <c r="T343" s="4354"/>
      <c r="U343" s="4354"/>
      <c r="V343" s="4354"/>
      <c r="W343" s="4354"/>
      <c r="X343" s="4354"/>
      <c r="Y343" s="4354"/>
      <c r="Z343" s="4354"/>
      <c r="AA343" s="4354"/>
      <c r="AB343" s="4354"/>
      <c r="AC343" s="403">
        <f t="shared" si="183"/>
        <v>0</v>
      </c>
      <c r="AD343" s="4355"/>
      <c r="AE343" s="4355"/>
      <c r="AF343" s="4355"/>
      <c r="AG343" s="4355"/>
      <c r="AH343" s="4355"/>
      <c r="AI343" s="4355"/>
      <c r="AJ343" s="4355"/>
      <c r="AK343" s="4355"/>
      <c r="AL343" s="4355"/>
      <c r="AM343" s="4355"/>
      <c r="AN343" s="4355"/>
      <c r="AO343" s="4355"/>
      <c r="AP343" s="4355"/>
      <c r="AQ343" s="4355"/>
      <c r="AR343" s="4355"/>
      <c r="AS343" s="4355"/>
      <c r="AT343" s="4356"/>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2">
        <f t="shared" si="181"/>
        <v>0</v>
      </c>
      <c r="H344" s="4353">
        <f t="shared" si="182"/>
        <v>0</v>
      </c>
      <c r="I344" s="4354"/>
      <c r="J344" s="4354"/>
      <c r="K344" s="4354"/>
      <c r="L344" s="4354"/>
      <c r="M344" s="4354"/>
      <c r="N344" s="4354"/>
      <c r="O344" s="4354"/>
      <c r="P344" s="4354"/>
      <c r="Q344" s="4354"/>
      <c r="R344" s="4354"/>
      <c r="S344" s="4354"/>
      <c r="T344" s="4354"/>
      <c r="U344" s="4354"/>
      <c r="V344" s="4354"/>
      <c r="W344" s="4354"/>
      <c r="X344" s="4354"/>
      <c r="Y344" s="4354"/>
      <c r="Z344" s="4354"/>
      <c r="AA344" s="4354"/>
      <c r="AB344" s="4354"/>
      <c r="AC344" s="403">
        <f t="shared" si="183"/>
        <v>0</v>
      </c>
      <c r="AD344" s="4355"/>
      <c r="AE344" s="4355"/>
      <c r="AF344" s="4355"/>
      <c r="AG344" s="4355"/>
      <c r="AH344" s="4355"/>
      <c r="AI344" s="4355"/>
      <c r="AJ344" s="4355"/>
      <c r="AK344" s="4355"/>
      <c r="AL344" s="4355"/>
      <c r="AM344" s="4355"/>
      <c r="AN344" s="4355"/>
      <c r="AO344" s="4355"/>
      <c r="AP344" s="4355"/>
      <c r="AQ344" s="4355"/>
      <c r="AR344" s="4355"/>
      <c r="AS344" s="4355"/>
      <c r="AT344" s="4356"/>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2">
        <f t="shared" si="181"/>
        <v>0</v>
      </c>
      <c r="H345" s="4353">
        <f t="shared" si="182"/>
        <v>0</v>
      </c>
      <c r="I345" s="4354"/>
      <c r="J345" s="4354"/>
      <c r="K345" s="4354"/>
      <c r="L345" s="4354"/>
      <c r="M345" s="4354"/>
      <c r="N345" s="4354"/>
      <c r="O345" s="4354"/>
      <c r="P345" s="4354"/>
      <c r="Q345" s="4354"/>
      <c r="R345" s="4354"/>
      <c r="S345" s="4354"/>
      <c r="T345" s="4354"/>
      <c r="U345" s="4354"/>
      <c r="V345" s="4354"/>
      <c r="W345" s="4354"/>
      <c r="X345" s="4354"/>
      <c r="Y345" s="4354"/>
      <c r="Z345" s="4354"/>
      <c r="AA345" s="4354"/>
      <c r="AB345" s="4354"/>
      <c r="AC345" s="403">
        <f t="shared" si="183"/>
        <v>0</v>
      </c>
      <c r="AD345" s="4355"/>
      <c r="AE345" s="4355"/>
      <c r="AF345" s="4355"/>
      <c r="AG345" s="4355"/>
      <c r="AH345" s="4355"/>
      <c r="AI345" s="4355"/>
      <c r="AJ345" s="4355"/>
      <c r="AK345" s="4355"/>
      <c r="AL345" s="4355"/>
      <c r="AM345" s="4355"/>
      <c r="AN345" s="4355"/>
      <c r="AO345" s="4355"/>
      <c r="AP345" s="4355"/>
      <c r="AQ345" s="4355"/>
      <c r="AR345" s="4355"/>
      <c r="AS345" s="4355"/>
      <c r="AT345" s="4356"/>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2">
        <f t="shared" si="181"/>
        <v>0</v>
      </c>
      <c r="H346" s="4353">
        <f t="shared" si="182"/>
        <v>0</v>
      </c>
      <c r="I346" s="4354"/>
      <c r="J346" s="4354"/>
      <c r="K346" s="4354"/>
      <c r="L346" s="4354"/>
      <c r="M346" s="4354"/>
      <c r="N346" s="4354"/>
      <c r="O346" s="4354"/>
      <c r="P346" s="4354"/>
      <c r="Q346" s="4354"/>
      <c r="R346" s="4354"/>
      <c r="S346" s="4354"/>
      <c r="T346" s="4354"/>
      <c r="U346" s="4354"/>
      <c r="V346" s="4354"/>
      <c r="W346" s="4354"/>
      <c r="X346" s="4354"/>
      <c r="Y346" s="4354"/>
      <c r="Z346" s="4354"/>
      <c r="AA346" s="4354"/>
      <c r="AB346" s="4354"/>
      <c r="AC346" s="403">
        <f t="shared" si="183"/>
        <v>0</v>
      </c>
      <c r="AD346" s="4355"/>
      <c r="AE346" s="4355"/>
      <c r="AF346" s="4355"/>
      <c r="AG346" s="4355"/>
      <c r="AH346" s="4355"/>
      <c r="AI346" s="4355"/>
      <c r="AJ346" s="4355"/>
      <c r="AK346" s="4355"/>
      <c r="AL346" s="4355"/>
      <c r="AM346" s="4355"/>
      <c r="AN346" s="4355"/>
      <c r="AO346" s="4355"/>
      <c r="AP346" s="4355"/>
      <c r="AQ346" s="4355"/>
      <c r="AR346" s="4355"/>
      <c r="AS346" s="4355"/>
      <c r="AT346" s="4356"/>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2">
        <f t="shared" si="181"/>
        <v>0</v>
      </c>
      <c r="H347" s="4353">
        <f t="shared" si="182"/>
        <v>0</v>
      </c>
      <c r="I347" s="4354"/>
      <c r="J347" s="4354"/>
      <c r="K347" s="4354"/>
      <c r="L347" s="4354"/>
      <c r="M347" s="4354"/>
      <c r="N347" s="4354"/>
      <c r="O347" s="4354"/>
      <c r="P347" s="4354"/>
      <c r="Q347" s="4354"/>
      <c r="R347" s="4354"/>
      <c r="S347" s="4354"/>
      <c r="T347" s="4354"/>
      <c r="U347" s="4354"/>
      <c r="V347" s="4354"/>
      <c r="W347" s="4354"/>
      <c r="X347" s="4354"/>
      <c r="Y347" s="4354"/>
      <c r="Z347" s="4354"/>
      <c r="AA347" s="4354"/>
      <c r="AB347" s="4354"/>
      <c r="AC347" s="403">
        <f t="shared" si="183"/>
        <v>0</v>
      </c>
      <c r="AD347" s="4355"/>
      <c r="AE347" s="4355"/>
      <c r="AF347" s="4355"/>
      <c r="AG347" s="4355"/>
      <c r="AH347" s="4355"/>
      <c r="AI347" s="4355"/>
      <c r="AJ347" s="4355"/>
      <c r="AK347" s="4355"/>
      <c r="AL347" s="4355"/>
      <c r="AM347" s="4355"/>
      <c r="AN347" s="4355"/>
      <c r="AO347" s="4355"/>
      <c r="AP347" s="4355"/>
      <c r="AQ347" s="4355"/>
      <c r="AR347" s="4355"/>
      <c r="AS347" s="4355"/>
      <c r="AT347" s="4356"/>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2">
        <f t="shared" si="181"/>
        <v>0</v>
      </c>
      <c r="H348" s="4353">
        <f t="shared" si="182"/>
        <v>0</v>
      </c>
      <c r="I348" s="4354"/>
      <c r="J348" s="4354"/>
      <c r="K348" s="4354"/>
      <c r="L348" s="4354"/>
      <c r="M348" s="4354"/>
      <c r="N348" s="4354"/>
      <c r="O348" s="4354"/>
      <c r="P348" s="4354"/>
      <c r="Q348" s="4354"/>
      <c r="R348" s="4354"/>
      <c r="S348" s="4354"/>
      <c r="T348" s="4354"/>
      <c r="U348" s="4354"/>
      <c r="V348" s="4354"/>
      <c r="W348" s="4354"/>
      <c r="X348" s="4354"/>
      <c r="Y348" s="4354"/>
      <c r="Z348" s="4354"/>
      <c r="AA348" s="4354"/>
      <c r="AB348" s="4354"/>
      <c r="AC348" s="403">
        <f t="shared" si="183"/>
        <v>0</v>
      </c>
      <c r="AD348" s="4355"/>
      <c r="AE348" s="4355"/>
      <c r="AF348" s="4355"/>
      <c r="AG348" s="4355"/>
      <c r="AH348" s="4355"/>
      <c r="AI348" s="4355"/>
      <c r="AJ348" s="4355"/>
      <c r="AK348" s="4355"/>
      <c r="AL348" s="4355"/>
      <c r="AM348" s="4355"/>
      <c r="AN348" s="4355"/>
      <c r="AO348" s="4355"/>
      <c r="AP348" s="4355"/>
      <c r="AQ348" s="4355"/>
      <c r="AR348" s="4355"/>
      <c r="AS348" s="4355"/>
      <c r="AT348" s="4356"/>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2">
        <f t="shared" si="181"/>
        <v>0</v>
      </c>
      <c r="H349" s="4353">
        <f t="shared" si="182"/>
        <v>0</v>
      </c>
      <c r="I349" s="4354"/>
      <c r="J349" s="4354"/>
      <c r="K349" s="4354"/>
      <c r="L349" s="4354"/>
      <c r="M349" s="4354"/>
      <c r="N349" s="4354"/>
      <c r="O349" s="4354"/>
      <c r="P349" s="4354"/>
      <c r="Q349" s="4354"/>
      <c r="R349" s="4354"/>
      <c r="S349" s="4354"/>
      <c r="T349" s="4354"/>
      <c r="U349" s="4354"/>
      <c r="V349" s="4354"/>
      <c r="W349" s="4354"/>
      <c r="X349" s="4354"/>
      <c r="Y349" s="4354"/>
      <c r="Z349" s="4354"/>
      <c r="AA349" s="4354"/>
      <c r="AB349" s="4354"/>
      <c r="AC349" s="403">
        <f t="shared" si="183"/>
        <v>0</v>
      </c>
      <c r="AD349" s="4355"/>
      <c r="AE349" s="4355"/>
      <c r="AF349" s="4355"/>
      <c r="AG349" s="4355"/>
      <c r="AH349" s="4355"/>
      <c r="AI349" s="4355"/>
      <c r="AJ349" s="4355"/>
      <c r="AK349" s="4355"/>
      <c r="AL349" s="4355"/>
      <c r="AM349" s="4355"/>
      <c r="AN349" s="4355"/>
      <c r="AO349" s="4355"/>
      <c r="AP349" s="4355"/>
      <c r="AQ349" s="4355"/>
      <c r="AR349" s="4355"/>
      <c r="AS349" s="4355"/>
      <c r="AT349" s="4356"/>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2">
        <f t="shared" si="181"/>
        <v>0</v>
      </c>
      <c r="H350" s="4353">
        <f t="shared" si="182"/>
        <v>0</v>
      </c>
      <c r="I350" s="4354"/>
      <c r="J350" s="4354"/>
      <c r="K350" s="4354"/>
      <c r="L350" s="4354"/>
      <c r="M350" s="4354"/>
      <c r="N350" s="4354"/>
      <c r="O350" s="4354"/>
      <c r="P350" s="4354"/>
      <c r="Q350" s="4354"/>
      <c r="R350" s="4354"/>
      <c r="S350" s="4354"/>
      <c r="T350" s="4354"/>
      <c r="U350" s="4354"/>
      <c r="V350" s="4354"/>
      <c r="W350" s="4354"/>
      <c r="X350" s="4354"/>
      <c r="Y350" s="4354"/>
      <c r="Z350" s="4354"/>
      <c r="AA350" s="4354"/>
      <c r="AB350" s="4354"/>
      <c r="AC350" s="403">
        <f t="shared" si="183"/>
        <v>0</v>
      </c>
      <c r="AD350" s="4355"/>
      <c r="AE350" s="4355"/>
      <c r="AF350" s="4355"/>
      <c r="AG350" s="4355"/>
      <c r="AH350" s="4355"/>
      <c r="AI350" s="4355"/>
      <c r="AJ350" s="4355"/>
      <c r="AK350" s="4355"/>
      <c r="AL350" s="4355"/>
      <c r="AM350" s="4355"/>
      <c r="AN350" s="4355"/>
      <c r="AO350" s="4355"/>
      <c r="AP350" s="4355"/>
      <c r="AQ350" s="4355"/>
      <c r="AR350" s="4355"/>
      <c r="AS350" s="4355"/>
      <c r="AT350" s="4356"/>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2">
        <f t="shared" si="181"/>
        <v>0</v>
      </c>
      <c r="H351" s="4353">
        <f t="shared" si="182"/>
        <v>0</v>
      </c>
      <c r="I351" s="4354"/>
      <c r="J351" s="4354"/>
      <c r="K351" s="4354"/>
      <c r="L351" s="4354"/>
      <c r="M351" s="4354"/>
      <c r="N351" s="4354"/>
      <c r="O351" s="4354"/>
      <c r="P351" s="4354"/>
      <c r="Q351" s="4354"/>
      <c r="R351" s="4354"/>
      <c r="S351" s="4354"/>
      <c r="T351" s="4354"/>
      <c r="U351" s="4354"/>
      <c r="V351" s="4354"/>
      <c r="W351" s="4354"/>
      <c r="X351" s="4354"/>
      <c r="Y351" s="4354"/>
      <c r="Z351" s="4354"/>
      <c r="AA351" s="4354"/>
      <c r="AB351" s="4354"/>
      <c r="AC351" s="403">
        <f t="shared" si="183"/>
        <v>0</v>
      </c>
      <c r="AD351" s="4355"/>
      <c r="AE351" s="4355"/>
      <c r="AF351" s="4355"/>
      <c r="AG351" s="4355"/>
      <c r="AH351" s="4355"/>
      <c r="AI351" s="4355"/>
      <c r="AJ351" s="4355"/>
      <c r="AK351" s="4355"/>
      <c r="AL351" s="4355"/>
      <c r="AM351" s="4355"/>
      <c r="AN351" s="4355"/>
      <c r="AO351" s="4355"/>
      <c r="AP351" s="4355"/>
      <c r="AQ351" s="4355"/>
      <c r="AR351" s="4355"/>
      <c r="AS351" s="4355"/>
      <c r="AT351" s="4356"/>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2">
        <f t="shared" si="181"/>
        <v>0</v>
      </c>
      <c r="H352" s="4353">
        <f t="shared" si="182"/>
        <v>0</v>
      </c>
      <c r="I352" s="4354"/>
      <c r="J352" s="4354"/>
      <c r="K352" s="4354"/>
      <c r="L352" s="4354"/>
      <c r="M352" s="4354"/>
      <c r="N352" s="4354"/>
      <c r="O352" s="4354"/>
      <c r="P352" s="4354"/>
      <c r="Q352" s="4354"/>
      <c r="R352" s="4354"/>
      <c r="S352" s="4354"/>
      <c r="T352" s="4354"/>
      <c r="U352" s="4354"/>
      <c r="V352" s="4354"/>
      <c r="W352" s="4354"/>
      <c r="X352" s="4354"/>
      <c r="Y352" s="4354"/>
      <c r="Z352" s="4354"/>
      <c r="AA352" s="4354"/>
      <c r="AB352" s="4354"/>
      <c r="AC352" s="403">
        <f t="shared" si="183"/>
        <v>0</v>
      </c>
      <c r="AD352" s="4355"/>
      <c r="AE352" s="4355"/>
      <c r="AF352" s="4355"/>
      <c r="AG352" s="4355"/>
      <c r="AH352" s="4355"/>
      <c r="AI352" s="4355"/>
      <c r="AJ352" s="4355"/>
      <c r="AK352" s="4355"/>
      <c r="AL352" s="4355"/>
      <c r="AM352" s="4355"/>
      <c r="AN352" s="4355"/>
      <c r="AO352" s="4355"/>
      <c r="AP352" s="4355"/>
      <c r="AQ352" s="4355"/>
      <c r="AR352" s="4355"/>
      <c r="AS352" s="4355"/>
      <c r="AT352" s="4356"/>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2">
        <f t="shared" si="181"/>
        <v>0</v>
      </c>
      <c r="H353" s="4353">
        <f t="shared" si="182"/>
        <v>0</v>
      </c>
      <c r="I353" s="4354"/>
      <c r="J353" s="4354"/>
      <c r="K353" s="4354"/>
      <c r="L353" s="4354"/>
      <c r="M353" s="4354"/>
      <c r="N353" s="4354"/>
      <c r="O353" s="4354"/>
      <c r="P353" s="4354"/>
      <c r="Q353" s="4354"/>
      <c r="R353" s="4354"/>
      <c r="S353" s="4354"/>
      <c r="T353" s="4354"/>
      <c r="U353" s="4354"/>
      <c r="V353" s="4354"/>
      <c r="W353" s="4354"/>
      <c r="X353" s="4354"/>
      <c r="Y353" s="4354"/>
      <c r="Z353" s="4354"/>
      <c r="AA353" s="4354"/>
      <c r="AB353" s="4354"/>
      <c r="AC353" s="403">
        <f t="shared" si="183"/>
        <v>0</v>
      </c>
      <c r="AD353" s="4355"/>
      <c r="AE353" s="4355"/>
      <c r="AF353" s="4355"/>
      <c r="AG353" s="4355"/>
      <c r="AH353" s="4355"/>
      <c r="AI353" s="4355"/>
      <c r="AJ353" s="4355"/>
      <c r="AK353" s="4355"/>
      <c r="AL353" s="4355"/>
      <c r="AM353" s="4355"/>
      <c r="AN353" s="4355"/>
      <c r="AO353" s="4355"/>
      <c r="AP353" s="4355"/>
      <c r="AQ353" s="4355"/>
      <c r="AR353" s="4355"/>
      <c r="AS353" s="4355"/>
      <c r="AT353" s="4356"/>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2">
        <f t="shared" si="181"/>
        <v>0</v>
      </c>
      <c r="H354" s="4353">
        <f t="shared" si="182"/>
        <v>0</v>
      </c>
      <c r="I354" s="4354"/>
      <c r="J354" s="4354"/>
      <c r="K354" s="4354"/>
      <c r="L354" s="4354"/>
      <c r="M354" s="4354"/>
      <c r="N354" s="4354"/>
      <c r="O354" s="4354"/>
      <c r="P354" s="4354"/>
      <c r="Q354" s="4354"/>
      <c r="R354" s="4354"/>
      <c r="S354" s="4354"/>
      <c r="T354" s="4354"/>
      <c r="U354" s="4354"/>
      <c r="V354" s="4354"/>
      <c r="W354" s="4354"/>
      <c r="X354" s="4354"/>
      <c r="Y354" s="4354"/>
      <c r="Z354" s="4354"/>
      <c r="AA354" s="4354"/>
      <c r="AB354" s="4354"/>
      <c r="AC354" s="403">
        <f t="shared" si="183"/>
        <v>0</v>
      </c>
      <c r="AD354" s="4355"/>
      <c r="AE354" s="4355"/>
      <c r="AF354" s="4355"/>
      <c r="AG354" s="4355"/>
      <c r="AH354" s="4355"/>
      <c r="AI354" s="4355"/>
      <c r="AJ354" s="4355"/>
      <c r="AK354" s="4355"/>
      <c r="AL354" s="4355"/>
      <c r="AM354" s="4355"/>
      <c r="AN354" s="4355"/>
      <c r="AO354" s="4355"/>
      <c r="AP354" s="4355"/>
      <c r="AQ354" s="4355"/>
      <c r="AR354" s="4355"/>
      <c r="AS354" s="4355"/>
      <c r="AT354" s="4356"/>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2">
        <f t="shared" si="181"/>
        <v>0</v>
      </c>
      <c r="H355" s="4353">
        <f t="shared" si="182"/>
        <v>0</v>
      </c>
      <c r="I355" s="4354"/>
      <c r="J355" s="4354"/>
      <c r="K355" s="4354"/>
      <c r="L355" s="4354"/>
      <c r="M355" s="4354"/>
      <c r="N355" s="4354"/>
      <c r="O355" s="4354"/>
      <c r="P355" s="4354"/>
      <c r="Q355" s="4354"/>
      <c r="R355" s="4354"/>
      <c r="S355" s="4354"/>
      <c r="T355" s="4354"/>
      <c r="U355" s="4354"/>
      <c r="V355" s="4354"/>
      <c r="W355" s="4354"/>
      <c r="X355" s="4354"/>
      <c r="Y355" s="4354"/>
      <c r="Z355" s="4354"/>
      <c r="AA355" s="4354"/>
      <c r="AB355" s="4354"/>
      <c r="AC355" s="403">
        <f t="shared" si="183"/>
        <v>0</v>
      </c>
      <c r="AD355" s="4355"/>
      <c r="AE355" s="4355"/>
      <c r="AF355" s="4355"/>
      <c r="AG355" s="4355"/>
      <c r="AH355" s="4355"/>
      <c r="AI355" s="4355"/>
      <c r="AJ355" s="4355"/>
      <c r="AK355" s="4355"/>
      <c r="AL355" s="4355"/>
      <c r="AM355" s="4355"/>
      <c r="AN355" s="4355"/>
      <c r="AO355" s="4355"/>
      <c r="AP355" s="4355"/>
      <c r="AQ355" s="4355"/>
      <c r="AR355" s="4355"/>
      <c r="AS355" s="4355"/>
      <c r="AT355" s="4356"/>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2">
        <f t="shared" si="181"/>
        <v>0</v>
      </c>
      <c r="H356" s="4353">
        <f t="shared" si="182"/>
        <v>0</v>
      </c>
      <c r="I356" s="4354"/>
      <c r="J356" s="4354"/>
      <c r="K356" s="4354"/>
      <c r="L356" s="4354"/>
      <c r="M356" s="4354"/>
      <c r="N356" s="4354"/>
      <c r="O356" s="4354"/>
      <c r="P356" s="4354"/>
      <c r="Q356" s="4354"/>
      <c r="R356" s="4354"/>
      <c r="S356" s="4354"/>
      <c r="T356" s="4354"/>
      <c r="U356" s="4354"/>
      <c r="V356" s="4354"/>
      <c r="W356" s="4354"/>
      <c r="X356" s="4354"/>
      <c r="Y356" s="4354"/>
      <c r="Z356" s="4354"/>
      <c r="AA356" s="4354"/>
      <c r="AB356" s="4354"/>
      <c r="AC356" s="403">
        <f t="shared" si="183"/>
        <v>0</v>
      </c>
      <c r="AD356" s="4355"/>
      <c r="AE356" s="4355"/>
      <c r="AF356" s="4355"/>
      <c r="AG356" s="4355"/>
      <c r="AH356" s="4355"/>
      <c r="AI356" s="4355"/>
      <c r="AJ356" s="4355"/>
      <c r="AK356" s="4355"/>
      <c r="AL356" s="4355"/>
      <c r="AM356" s="4355"/>
      <c r="AN356" s="4355"/>
      <c r="AO356" s="4355"/>
      <c r="AP356" s="4355"/>
      <c r="AQ356" s="4355"/>
      <c r="AR356" s="4355"/>
      <c r="AS356" s="4355"/>
      <c r="AT356" s="4356"/>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2">
        <f t="shared" si="181"/>
        <v>0</v>
      </c>
      <c r="H357" s="4353">
        <f t="shared" si="182"/>
        <v>0</v>
      </c>
      <c r="I357" s="4354"/>
      <c r="J357" s="4354"/>
      <c r="K357" s="4354"/>
      <c r="L357" s="4354"/>
      <c r="M357" s="4354"/>
      <c r="N357" s="4354"/>
      <c r="O357" s="4354"/>
      <c r="P357" s="4354"/>
      <c r="Q357" s="4354"/>
      <c r="R357" s="4354"/>
      <c r="S357" s="4354"/>
      <c r="T357" s="4354"/>
      <c r="U357" s="4354"/>
      <c r="V357" s="4354"/>
      <c r="W357" s="4354"/>
      <c r="X357" s="4354"/>
      <c r="Y357" s="4354"/>
      <c r="Z357" s="4354"/>
      <c r="AA357" s="4354"/>
      <c r="AB357" s="4354"/>
      <c r="AC357" s="403">
        <f t="shared" si="183"/>
        <v>0</v>
      </c>
      <c r="AD357" s="4355"/>
      <c r="AE357" s="4355"/>
      <c r="AF357" s="4355"/>
      <c r="AG357" s="4355"/>
      <c r="AH357" s="4355"/>
      <c r="AI357" s="4355"/>
      <c r="AJ357" s="4355"/>
      <c r="AK357" s="4355"/>
      <c r="AL357" s="4355"/>
      <c r="AM357" s="4355"/>
      <c r="AN357" s="4355"/>
      <c r="AO357" s="4355"/>
      <c r="AP357" s="4355"/>
      <c r="AQ357" s="4355"/>
      <c r="AR357" s="4355"/>
      <c r="AS357" s="4355"/>
      <c r="AT357" s="4356"/>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2">
        <f t="shared" si="181"/>
        <v>0</v>
      </c>
      <c r="H358" s="4353">
        <f t="shared" si="182"/>
        <v>0</v>
      </c>
      <c r="I358" s="4354"/>
      <c r="J358" s="4354"/>
      <c r="K358" s="4354"/>
      <c r="L358" s="4354"/>
      <c r="M358" s="4354"/>
      <c r="N358" s="4354"/>
      <c r="O358" s="4354"/>
      <c r="P358" s="4354"/>
      <c r="Q358" s="4354"/>
      <c r="R358" s="4354"/>
      <c r="S358" s="4354"/>
      <c r="T358" s="4354"/>
      <c r="U358" s="4354"/>
      <c r="V358" s="4354"/>
      <c r="W358" s="4354"/>
      <c r="X358" s="4354"/>
      <c r="Y358" s="4354"/>
      <c r="Z358" s="4354"/>
      <c r="AA358" s="4354"/>
      <c r="AB358" s="4354"/>
      <c r="AC358" s="403">
        <f t="shared" si="183"/>
        <v>0</v>
      </c>
      <c r="AD358" s="4355"/>
      <c r="AE358" s="4355"/>
      <c r="AF358" s="4355"/>
      <c r="AG358" s="4355"/>
      <c r="AH358" s="4355"/>
      <c r="AI358" s="4355"/>
      <c r="AJ358" s="4355"/>
      <c r="AK358" s="4355"/>
      <c r="AL358" s="4355"/>
      <c r="AM358" s="4355"/>
      <c r="AN358" s="4355"/>
      <c r="AO358" s="4355"/>
      <c r="AP358" s="4355"/>
      <c r="AQ358" s="4355"/>
      <c r="AR358" s="4355"/>
      <c r="AS358" s="4355"/>
      <c r="AT358" s="4356"/>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2">
        <f t="shared" si="181"/>
        <v>0</v>
      </c>
      <c r="H359" s="4353">
        <f t="shared" si="182"/>
        <v>0</v>
      </c>
      <c r="I359" s="4354"/>
      <c r="J359" s="4354"/>
      <c r="K359" s="4354"/>
      <c r="L359" s="4354"/>
      <c r="M359" s="4354"/>
      <c r="N359" s="4354"/>
      <c r="O359" s="4354"/>
      <c r="P359" s="4354"/>
      <c r="Q359" s="4354"/>
      <c r="R359" s="4354"/>
      <c r="S359" s="4354"/>
      <c r="T359" s="4354"/>
      <c r="U359" s="4354"/>
      <c r="V359" s="4354"/>
      <c r="W359" s="4354"/>
      <c r="X359" s="4354"/>
      <c r="Y359" s="4354"/>
      <c r="Z359" s="4354"/>
      <c r="AA359" s="4354"/>
      <c r="AB359" s="4354"/>
      <c r="AC359" s="403">
        <f t="shared" si="183"/>
        <v>0</v>
      </c>
      <c r="AD359" s="4355"/>
      <c r="AE359" s="4355"/>
      <c r="AF359" s="4355"/>
      <c r="AG359" s="4355"/>
      <c r="AH359" s="4355"/>
      <c r="AI359" s="4355"/>
      <c r="AJ359" s="4355"/>
      <c r="AK359" s="4355"/>
      <c r="AL359" s="4355"/>
      <c r="AM359" s="4355"/>
      <c r="AN359" s="4355"/>
      <c r="AO359" s="4355"/>
      <c r="AP359" s="4355"/>
      <c r="AQ359" s="4355"/>
      <c r="AR359" s="4355"/>
      <c r="AS359" s="4355"/>
      <c r="AT359" s="4356"/>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2">
        <f t="shared" si="181"/>
        <v>0</v>
      </c>
      <c r="H360" s="4353">
        <f t="shared" si="182"/>
        <v>0</v>
      </c>
      <c r="I360" s="4354"/>
      <c r="J360" s="4354"/>
      <c r="K360" s="4354"/>
      <c r="L360" s="4354"/>
      <c r="M360" s="4354"/>
      <c r="N360" s="4354"/>
      <c r="O360" s="4354"/>
      <c r="P360" s="4354"/>
      <c r="Q360" s="4354"/>
      <c r="R360" s="4354"/>
      <c r="S360" s="4354"/>
      <c r="T360" s="4354"/>
      <c r="U360" s="4354"/>
      <c r="V360" s="4354"/>
      <c r="W360" s="4354"/>
      <c r="X360" s="4354"/>
      <c r="Y360" s="4354"/>
      <c r="Z360" s="4354"/>
      <c r="AA360" s="4354"/>
      <c r="AB360" s="4354"/>
      <c r="AC360" s="403">
        <f t="shared" si="183"/>
        <v>0</v>
      </c>
      <c r="AD360" s="4355"/>
      <c r="AE360" s="4355"/>
      <c r="AF360" s="4355"/>
      <c r="AG360" s="4355"/>
      <c r="AH360" s="4355"/>
      <c r="AI360" s="4355"/>
      <c r="AJ360" s="4355"/>
      <c r="AK360" s="4355"/>
      <c r="AL360" s="4355"/>
      <c r="AM360" s="4355"/>
      <c r="AN360" s="4355"/>
      <c r="AO360" s="4355"/>
      <c r="AP360" s="4355"/>
      <c r="AQ360" s="4355"/>
      <c r="AR360" s="4355"/>
      <c r="AS360" s="4355"/>
      <c r="AT360" s="4356"/>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2">
        <f t="shared" si="181"/>
        <v>0</v>
      </c>
      <c r="H361" s="4353">
        <f t="shared" si="182"/>
        <v>0</v>
      </c>
      <c r="I361" s="4354"/>
      <c r="J361" s="4354"/>
      <c r="K361" s="4354"/>
      <c r="L361" s="4354"/>
      <c r="M361" s="4354"/>
      <c r="N361" s="4354"/>
      <c r="O361" s="4354"/>
      <c r="P361" s="4354"/>
      <c r="Q361" s="4354"/>
      <c r="R361" s="4354"/>
      <c r="S361" s="4354"/>
      <c r="T361" s="4354"/>
      <c r="U361" s="4354"/>
      <c r="V361" s="4354"/>
      <c r="W361" s="4354"/>
      <c r="X361" s="4354"/>
      <c r="Y361" s="4354"/>
      <c r="Z361" s="4354"/>
      <c r="AA361" s="4354"/>
      <c r="AB361" s="4354"/>
      <c r="AC361" s="403">
        <f t="shared" si="183"/>
        <v>0</v>
      </c>
      <c r="AD361" s="4355"/>
      <c r="AE361" s="4355"/>
      <c r="AF361" s="4355"/>
      <c r="AG361" s="4355"/>
      <c r="AH361" s="4355"/>
      <c r="AI361" s="4355"/>
      <c r="AJ361" s="4355"/>
      <c r="AK361" s="4355"/>
      <c r="AL361" s="4355"/>
      <c r="AM361" s="4355"/>
      <c r="AN361" s="4355"/>
      <c r="AO361" s="4355"/>
      <c r="AP361" s="4355"/>
      <c r="AQ361" s="4355"/>
      <c r="AR361" s="4355"/>
      <c r="AS361" s="4355"/>
      <c r="AT361" s="4356"/>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2">
        <f t="shared" si="181"/>
        <v>0</v>
      </c>
      <c r="H362" s="4353">
        <f t="shared" si="182"/>
        <v>0</v>
      </c>
      <c r="I362" s="4354"/>
      <c r="J362" s="4354"/>
      <c r="K362" s="4354"/>
      <c r="L362" s="4354"/>
      <c r="M362" s="4354"/>
      <c r="N362" s="4354"/>
      <c r="O362" s="4354"/>
      <c r="P362" s="4354"/>
      <c r="Q362" s="4354"/>
      <c r="R362" s="4354"/>
      <c r="S362" s="4354"/>
      <c r="T362" s="4354"/>
      <c r="U362" s="4354"/>
      <c r="V362" s="4354"/>
      <c r="W362" s="4354"/>
      <c r="X362" s="4354"/>
      <c r="Y362" s="4354"/>
      <c r="Z362" s="4354"/>
      <c r="AA362" s="4354"/>
      <c r="AB362" s="4354"/>
      <c r="AC362" s="403">
        <f t="shared" si="183"/>
        <v>0</v>
      </c>
      <c r="AD362" s="4355"/>
      <c r="AE362" s="4355"/>
      <c r="AF362" s="4355"/>
      <c r="AG362" s="4355"/>
      <c r="AH362" s="4355"/>
      <c r="AI362" s="4355"/>
      <c r="AJ362" s="4355"/>
      <c r="AK362" s="4355"/>
      <c r="AL362" s="4355"/>
      <c r="AM362" s="4355"/>
      <c r="AN362" s="4355"/>
      <c r="AO362" s="4355"/>
      <c r="AP362" s="4355"/>
      <c r="AQ362" s="4355"/>
      <c r="AR362" s="4355"/>
      <c r="AS362" s="4355"/>
      <c r="AT362" s="4356"/>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2">
        <f t="shared" si="181"/>
        <v>0</v>
      </c>
      <c r="H363" s="4353">
        <f t="shared" si="182"/>
        <v>0</v>
      </c>
      <c r="I363" s="4354"/>
      <c r="J363" s="4354"/>
      <c r="K363" s="4354"/>
      <c r="L363" s="4354"/>
      <c r="M363" s="4354"/>
      <c r="N363" s="4354"/>
      <c r="O363" s="4354"/>
      <c r="P363" s="4354"/>
      <c r="Q363" s="4354"/>
      <c r="R363" s="4354"/>
      <c r="S363" s="4354"/>
      <c r="T363" s="4354"/>
      <c r="U363" s="4354"/>
      <c r="V363" s="4354"/>
      <c r="W363" s="4354"/>
      <c r="X363" s="4354"/>
      <c r="Y363" s="4354"/>
      <c r="Z363" s="4354"/>
      <c r="AA363" s="4354"/>
      <c r="AB363" s="4354"/>
      <c r="AC363" s="403">
        <f t="shared" si="183"/>
        <v>0</v>
      </c>
      <c r="AD363" s="4355"/>
      <c r="AE363" s="4355"/>
      <c r="AF363" s="4355"/>
      <c r="AG363" s="4355"/>
      <c r="AH363" s="4355"/>
      <c r="AI363" s="4355"/>
      <c r="AJ363" s="4355"/>
      <c r="AK363" s="4355"/>
      <c r="AL363" s="4355"/>
      <c r="AM363" s="4355"/>
      <c r="AN363" s="4355"/>
      <c r="AO363" s="4355"/>
      <c r="AP363" s="4355"/>
      <c r="AQ363" s="4355"/>
      <c r="AR363" s="4355"/>
      <c r="AS363" s="4355"/>
      <c r="AT363" s="4356"/>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2">
        <f t="shared" ref="G364:G395" si="210">H364+AC364+AT364</f>
        <v>0</v>
      </c>
      <c r="H364" s="4353">
        <f t="shared" ref="H364:H395" si="211">SUMIF(I$12:AB$12,"总值",I364:AB364)</f>
        <v>0</v>
      </c>
      <c r="I364" s="4354"/>
      <c r="J364" s="4354"/>
      <c r="K364" s="4354"/>
      <c r="L364" s="4354"/>
      <c r="M364" s="4354"/>
      <c r="N364" s="4354"/>
      <c r="O364" s="4354"/>
      <c r="P364" s="4354"/>
      <c r="Q364" s="4354"/>
      <c r="R364" s="4354"/>
      <c r="S364" s="4354"/>
      <c r="T364" s="4354"/>
      <c r="U364" s="4354"/>
      <c r="V364" s="4354"/>
      <c r="W364" s="4354"/>
      <c r="X364" s="4354"/>
      <c r="Y364" s="4354"/>
      <c r="Z364" s="4354"/>
      <c r="AA364" s="4354"/>
      <c r="AB364" s="4354"/>
      <c r="AC364" s="403">
        <f t="shared" ref="AC364:AC395" si="212">SUMIF(AD$12:AS$12,"总值",AD364:AS364)</f>
        <v>0</v>
      </c>
      <c r="AD364" s="4355"/>
      <c r="AE364" s="4355"/>
      <c r="AF364" s="4355"/>
      <c r="AG364" s="4355"/>
      <c r="AH364" s="4355"/>
      <c r="AI364" s="4355"/>
      <c r="AJ364" s="4355"/>
      <c r="AK364" s="4355"/>
      <c r="AL364" s="4355"/>
      <c r="AM364" s="4355"/>
      <c r="AN364" s="4355"/>
      <c r="AO364" s="4355"/>
      <c r="AP364" s="4355"/>
      <c r="AQ364" s="4355"/>
      <c r="AR364" s="4355"/>
      <c r="AS364" s="4355"/>
      <c r="AT364" s="4356"/>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2">
        <f t="shared" si="210"/>
        <v>0</v>
      </c>
      <c r="H365" s="4353">
        <f t="shared" si="211"/>
        <v>0</v>
      </c>
      <c r="I365" s="4354"/>
      <c r="J365" s="4354"/>
      <c r="K365" s="4354"/>
      <c r="L365" s="4354"/>
      <c r="M365" s="4354"/>
      <c r="N365" s="4354"/>
      <c r="O365" s="4354"/>
      <c r="P365" s="4354"/>
      <c r="Q365" s="4354"/>
      <c r="R365" s="4354"/>
      <c r="S365" s="4354"/>
      <c r="T365" s="4354"/>
      <c r="U365" s="4354"/>
      <c r="V365" s="4354"/>
      <c r="W365" s="4354"/>
      <c r="X365" s="4354"/>
      <c r="Y365" s="4354"/>
      <c r="Z365" s="4354"/>
      <c r="AA365" s="4354"/>
      <c r="AB365" s="4354"/>
      <c r="AC365" s="403">
        <f t="shared" si="212"/>
        <v>0</v>
      </c>
      <c r="AD365" s="4355"/>
      <c r="AE365" s="4355"/>
      <c r="AF365" s="4355"/>
      <c r="AG365" s="4355"/>
      <c r="AH365" s="4355"/>
      <c r="AI365" s="4355"/>
      <c r="AJ365" s="4355"/>
      <c r="AK365" s="4355"/>
      <c r="AL365" s="4355"/>
      <c r="AM365" s="4355"/>
      <c r="AN365" s="4355"/>
      <c r="AO365" s="4355"/>
      <c r="AP365" s="4355"/>
      <c r="AQ365" s="4355"/>
      <c r="AR365" s="4355"/>
      <c r="AS365" s="4355"/>
      <c r="AT365" s="4356"/>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2">
        <f t="shared" si="210"/>
        <v>0</v>
      </c>
      <c r="H366" s="4353">
        <f t="shared" si="211"/>
        <v>0</v>
      </c>
      <c r="I366" s="4354"/>
      <c r="J366" s="4354"/>
      <c r="K366" s="4354"/>
      <c r="L366" s="4354"/>
      <c r="M366" s="4354"/>
      <c r="N366" s="4354"/>
      <c r="O366" s="4354"/>
      <c r="P366" s="4354"/>
      <c r="Q366" s="4354"/>
      <c r="R366" s="4354"/>
      <c r="S366" s="4354"/>
      <c r="T366" s="4354"/>
      <c r="U366" s="4354"/>
      <c r="V366" s="4354"/>
      <c r="W366" s="4354"/>
      <c r="X366" s="4354"/>
      <c r="Y366" s="4354"/>
      <c r="Z366" s="4354"/>
      <c r="AA366" s="4354"/>
      <c r="AB366" s="4354"/>
      <c r="AC366" s="403">
        <f t="shared" si="212"/>
        <v>0</v>
      </c>
      <c r="AD366" s="4355"/>
      <c r="AE366" s="4355"/>
      <c r="AF366" s="4355"/>
      <c r="AG366" s="4355"/>
      <c r="AH366" s="4355"/>
      <c r="AI366" s="4355"/>
      <c r="AJ366" s="4355"/>
      <c r="AK366" s="4355"/>
      <c r="AL366" s="4355"/>
      <c r="AM366" s="4355"/>
      <c r="AN366" s="4355"/>
      <c r="AO366" s="4355"/>
      <c r="AP366" s="4355"/>
      <c r="AQ366" s="4355"/>
      <c r="AR366" s="4355"/>
      <c r="AS366" s="4355"/>
      <c r="AT366" s="4356"/>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2">
        <f t="shared" si="210"/>
        <v>0</v>
      </c>
      <c r="H367" s="4353">
        <f t="shared" si="211"/>
        <v>0</v>
      </c>
      <c r="I367" s="4354"/>
      <c r="J367" s="4354"/>
      <c r="K367" s="4354"/>
      <c r="L367" s="4354"/>
      <c r="M367" s="4354"/>
      <c r="N367" s="4354"/>
      <c r="O367" s="4354"/>
      <c r="P367" s="4354"/>
      <c r="Q367" s="4354"/>
      <c r="R367" s="4354"/>
      <c r="S367" s="4354"/>
      <c r="T367" s="4354"/>
      <c r="U367" s="4354"/>
      <c r="V367" s="4354"/>
      <c r="W367" s="4354"/>
      <c r="X367" s="4354"/>
      <c r="Y367" s="4354"/>
      <c r="Z367" s="4354"/>
      <c r="AA367" s="4354"/>
      <c r="AB367" s="4354"/>
      <c r="AC367" s="403">
        <f t="shared" si="212"/>
        <v>0</v>
      </c>
      <c r="AD367" s="4355"/>
      <c r="AE367" s="4355"/>
      <c r="AF367" s="4355"/>
      <c r="AG367" s="4355"/>
      <c r="AH367" s="4355"/>
      <c r="AI367" s="4355"/>
      <c r="AJ367" s="4355"/>
      <c r="AK367" s="4355"/>
      <c r="AL367" s="4355"/>
      <c r="AM367" s="4355"/>
      <c r="AN367" s="4355"/>
      <c r="AO367" s="4355"/>
      <c r="AP367" s="4355"/>
      <c r="AQ367" s="4355"/>
      <c r="AR367" s="4355"/>
      <c r="AS367" s="4355"/>
      <c r="AT367" s="4356"/>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2">
        <f t="shared" si="210"/>
        <v>0</v>
      </c>
      <c r="H368" s="4353">
        <f t="shared" si="211"/>
        <v>0</v>
      </c>
      <c r="I368" s="4354"/>
      <c r="J368" s="4354"/>
      <c r="K368" s="4354"/>
      <c r="L368" s="4354"/>
      <c r="M368" s="4354"/>
      <c r="N368" s="4354"/>
      <c r="O368" s="4354"/>
      <c r="P368" s="4354"/>
      <c r="Q368" s="4354"/>
      <c r="R368" s="4354"/>
      <c r="S368" s="4354"/>
      <c r="T368" s="4354"/>
      <c r="U368" s="4354"/>
      <c r="V368" s="4354"/>
      <c r="W368" s="4354"/>
      <c r="X368" s="4354"/>
      <c r="Y368" s="4354"/>
      <c r="Z368" s="4354"/>
      <c r="AA368" s="4354"/>
      <c r="AB368" s="4354"/>
      <c r="AC368" s="403">
        <f t="shared" si="212"/>
        <v>0</v>
      </c>
      <c r="AD368" s="4355"/>
      <c r="AE368" s="4355"/>
      <c r="AF368" s="4355"/>
      <c r="AG368" s="4355"/>
      <c r="AH368" s="4355"/>
      <c r="AI368" s="4355"/>
      <c r="AJ368" s="4355"/>
      <c r="AK368" s="4355"/>
      <c r="AL368" s="4355"/>
      <c r="AM368" s="4355"/>
      <c r="AN368" s="4355"/>
      <c r="AO368" s="4355"/>
      <c r="AP368" s="4355"/>
      <c r="AQ368" s="4355"/>
      <c r="AR368" s="4355"/>
      <c r="AS368" s="4355"/>
      <c r="AT368" s="4356"/>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2">
        <f t="shared" si="210"/>
        <v>0</v>
      </c>
      <c r="H369" s="4353">
        <f t="shared" si="211"/>
        <v>0</v>
      </c>
      <c r="I369" s="4354"/>
      <c r="J369" s="4354"/>
      <c r="K369" s="4354"/>
      <c r="L369" s="4354"/>
      <c r="M369" s="4354"/>
      <c r="N369" s="4354"/>
      <c r="O369" s="4354"/>
      <c r="P369" s="4354"/>
      <c r="Q369" s="4354"/>
      <c r="R369" s="4354"/>
      <c r="S369" s="4354"/>
      <c r="T369" s="4354"/>
      <c r="U369" s="4354"/>
      <c r="V369" s="4354"/>
      <c r="W369" s="4354"/>
      <c r="X369" s="4354"/>
      <c r="Y369" s="4354"/>
      <c r="Z369" s="4354"/>
      <c r="AA369" s="4354"/>
      <c r="AB369" s="4354"/>
      <c r="AC369" s="403">
        <f t="shared" si="212"/>
        <v>0</v>
      </c>
      <c r="AD369" s="4355"/>
      <c r="AE369" s="4355"/>
      <c r="AF369" s="4355"/>
      <c r="AG369" s="4355"/>
      <c r="AH369" s="4355"/>
      <c r="AI369" s="4355"/>
      <c r="AJ369" s="4355"/>
      <c r="AK369" s="4355"/>
      <c r="AL369" s="4355"/>
      <c r="AM369" s="4355"/>
      <c r="AN369" s="4355"/>
      <c r="AO369" s="4355"/>
      <c r="AP369" s="4355"/>
      <c r="AQ369" s="4355"/>
      <c r="AR369" s="4355"/>
      <c r="AS369" s="4355"/>
      <c r="AT369" s="4356"/>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2">
        <f t="shared" si="210"/>
        <v>0</v>
      </c>
      <c r="H370" s="4353">
        <f t="shared" si="211"/>
        <v>0</v>
      </c>
      <c r="I370" s="4354"/>
      <c r="J370" s="4354"/>
      <c r="K370" s="4354"/>
      <c r="L370" s="4354"/>
      <c r="M370" s="4354"/>
      <c r="N370" s="4354"/>
      <c r="O370" s="4354"/>
      <c r="P370" s="4354"/>
      <c r="Q370" s="4354"/>
      <c r="R370" s="4354"/>
      <c r="S370" s="4354"/>
      <c r="T370" s="4354"/>
      <c r="U370" s="4354"/>
      <c r="V370" s="4354"/>
      <c r="W370" s="4354"/>
      <c r="X370" s="4354"/>
      <c r="Y370" s="4354"/>
      <c r="Z370" s="4354"/>
      <c r="AA370" s="4354"/>
      <c r="AB370" s="4354"/>
      <c r="AC370" s="403">
        <f t="shared" si="212"/>
        <v>0</v>
      </c>
      <c r="AD370" s="4355"/>
      <c r="AE370" s="4355"/>
      <c r="AF370" s="4355"/>
      <c r="AG370" s="4355"/>
      <c r="AH370" s="4355"/>
      <c r="AI370" s="4355"/>
      <c r="AJ370" s="4355"/>
      <c r="AK370" s="4355"/>
      <c r="AL370" s="4355"/>
      <c r="AM370" s="4355"/>
      <c r="AN370" s="4355"/>
      <c r="AO370" s="4355"/>
      <c r="AP370" s="4355"/>
      <c r="AQ370" s="4355"/>
      <c r="AR370" s="4355"/>
      <c r="AS370" s="4355"/>
      <c r="AT370" s="4356"/>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2">
        <f t="shared" si="210"/>
        <v>0</v>
      </c>
      <c r="H371" s="4353">
        <f t="shared" si="211"/>
        <v>0</v>
      </c>
      <c r="I371" s="4354"/>
      <c r="J371" s="4354"/>
      <c r="K371" s="4354"/>
      <c r="L371" s="4354"/>
      <c r="M371" s="4354"/>
      <c r="N371" s="4354"/>
      <c r="O371" s="4354"/>
      <c r="P371" s="4354"/>
      <c r="Q371" s="4354"/>
      <c r="R371" s="4354"/>
      <c r="S371" s="4354"/>
      <c r="T371" s="4354"/>
      <c r="U371" s="4354"/>
      <c r="V371" s="4354"/>
      <c r="W371" s="4354"/>
      <c r="X371" s="4354"/>
      <c r="Y371" s="4354"/>
      <c r="Z371" s="4354"/>
      <c r="AA371" s="4354"/>
      <c r="AB371" s="4354"/>
      <c r="AC371" s="403">
        <f t="shared" si="212"/>
        <v>0</v>
      </c>
      <c r="AD371" s="4355"/>
      <c r="AE371" s="4355"/>
      <c r="AF371" s="4355"/>
      <c r="AG371" s="4355"/>
      <c r="AH371" s="4355"/>
      <c r="AI371" s="4355"/>
      <c r="AJ371" s="4355"/>
      <c r="AK371" s="4355"/>
      <c r="AL371" s="4355"/>
      <c r="AM371" s="4355"/>
      <c r="AN371" s="4355"/>
      <c r="AO371" s="4355"/>
      <c r="AP371" s="4355"/>
      <c r="AQ371" s="4355"/>
      <c r="AR371" s="4355"/>
      <c r="AS371" s="4355"/>
      <c r="AT371" s="4356"/>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2">
        <f t="shared" si="210"/>
        <v>0</v>
      </c>
      <c r="H372" s="4353">
        <f t="shared" si="211"/>
        <v>0</v>
      </c>
      <c r="I372" s="4354"/>
      <c r="J372" s="4354"/>
      <c r="K372" s="4354"/>
      <c r="L372" s="4354"/>
      <c r="M372" s="4354"/>
      <c r="N372" s="4354"/>
      <c r="O372" s="4354"/>
      <c r="P372" s="4354"/>
      <c r="Q372" s="4354"/>
      <c r="R372" s="4354"/>
      <c r="S372" s="4354"/>
      <c r="T372" s="4354"/>
      <c r="U372" s="4354"/>
      <c r="V372" s="4354"/>
      <c r="W372" s="4354"/>
      <c r="X372" s="4354"/>
      <c r="Y372" s="4354"/>
      <c r="Z372" s="4354"/>
      <c r="AA372" s="4354"/>
      <c r="AB372" s="4354"/>
      <c r="AC372" s="403">
        <f t="shared" si="212"/>
        <v>0</v>
      </c>
      <c r="AD372" s="4355"/>
      <c r="AE372" s="4355"/>
      <c r="AF372" s="4355"/>
      <c r="AG372" s="4355"/>
      <c r="AH372" s="4355"/>
      <c r="AI372" s="4355"/>
      <c r="AJ372" s="4355"/>
      <c r="AK372" s="4355"/>
      <c r="AL372" s="4355"/>
      <c r="AM372" s="4355"/>
      <c r="AN372" s="4355"/>
      <c r="AO372" s="4355"/>
      <c r="AP372" s="4355"/>
      <c r="AQ372" s="4355"/>
      <c r="AR372" s="4355"/>
      <c r="AS372" s="4355"/>
      <c r="AT372" s="4356"/>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2">
        <f t="shared" si="210"/>
        <v>0</v>
      </c>
      <c r="H373" s="4353">
        <f t="shared" si="211"/>
        <v>0</v>
      </c>
      <c r="I373" s="4354"/>
      <c r="J373" s="4354"/>
      <c r="K373" s="4354"/>
      <c r="L373" s="4354"/>
      <c r="M373" s="4354"/>
      <c r="N373" s="4354"/>
      <c r="O373" s="4354"/>
      <c r="P373" s="4354"/>
      <c r="Q373" s="4354"/>
      <c r="R373" s="4354"/>
      <c r="S373" s="4354"/>
      <c r="T373" s="4354"/>
      <c r="U373" s="4354"/>
      <c r="V373" s="4354"/>
      <c r="W373" s="4354"/>
      <c r="X373" s="4354"/>
      <c r="Y373" s="4354"/>
      <c r="Z373" s="4354"/>
      <c r="AA373" s="4354"/>
      <c r="AB373" s="4354"/>
      <c r="AC373" s="403">
        <f t="shared" si="212"/>
        <v>0</v>
      </c>
      <c r="AD373" s="4355"/>
      <c r="AE373" s="4355"/>
      <c r="AF373" s="4355"/>
      <c r="AG373" s="4355"/>
      <c r="AH373" s="4355"/>
      <c r="AI373" s="4355"/>
      <c r="AJ373" s="4355"/>
      <c r="AK373" s="4355"/>
      <c r="AL373" s="4355"/>
      <c r="AM373" s="4355"/>
      <c r="AN373" s="4355"/>
      <c r="AO373" s="4355"/>
      <c r="AP373" s="4355"/>
      <c r="AQ373" s="4355"/>
      <c r="AR373" s="4355"/>
      <c r="AS373" s="4355"/>
      <c r="AT373" s="4356"/>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2">
        <f t="shared" si="210"/>
        <v>0</v>
      </c>
      <c r="H374" s="4353">
        <f t="shared" si="211"/>
        <v>0</v>
      </c>
      <c r="I374" s="4354"/>
      <c r="J374" s="4354"/>
      <c r="K374" s="4354"/>
      <c r="L374" s="4354"/>
      <c r="M374" s="4354"/>
      <c r="N374" s="4354"/>
      <c r="O374" s="4354"/>
      <c r="P374" s="4354"/>
      <c r="Q374" s="4354"/>
      <c r="R374" s="4354"/>
      <c r="S374" s="4354"/>
      <c r="T374" s="4354"/>
      <c r="U374" s="4354"/>
      <c r="V374" s="4354"/>
      <c r="W374" s="4354"/>
      <c r="X374" s="4354"/>
      <c r="Y374" s="4354"/>
      <c r="Z374" s="4354"/>
      <c r="AA374" s="4354"/>
      <c r="AB374" s="4354"/>
      <c r="AC374" s="403">
        <f t="shared" si="212"/>
        <v>0</v>
      </c>
      <c r="AD374" s="4355"/>
      <c r="AE374" s="4355"/>
      <c r="AF374" s="4355"/>
      <c r="AG374" s="4355"/>
      <c r="AH374" s="4355"/>
      <c r="AI374" s="4355"/>
      <c r="AJ374" s="4355"/>
      <c r="AK374" s="4355"/>
      <c r="AL374" s="4355"/>
      <c r="AM374" s="4355"/>
      <c r="AN374" s="4355"/>
      <c r="AO374" s="4355"/>
      <c r="AP374" s="4355"/>
      <c r="AQ374" s="4355"/>
      <c r="AR374" s="4355"/>
      <c r="AS374" s="4355"/>
      <c r="AT374" s="4356"/>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2">
        <f t="shared" si="210"/>
        <v>0</v>
      </c>
      <c r="H375" s="4353">
        <f t="shared" si="211"/>
        <v>0</v>
      </c>
      <c r="I375" s="4354"/>
      <c r="J375" s="4354"/>
      <c r="K375" s="4354"/>
      <c r="L375" s="4354"/>
      <c r="M375" s="4354"/>
      <c r="N375" s="4354"/>
      <c r="O375" s="4354"/>
      <c r="P375" s="4354"/>
      <c r="Q375" s="4354"/>
      <c r="R375" s="4354"/>
      <c r="S375" s="4354"/>
      <c r="T375" s="4354"/>
      <c r="U375" s="4354"/>
      <c r="V375" s="4354"/>
      <c r="W375" s="4354"/>
      <c r="X375" s="4354"/>
      <c r="Y375" s="4354"/>
      <c r="Z375" s="4354"/>
      <c r="AA375" s="4354"/>
      <c r="AB375" s="4354"/>
      <c r="AC375" s="403">
        <f t="shared" si="212"/>
        <v>0</v>
      </c>
      <c r="AD375" s="4355"/>
      <c r="AE375" s="4355"/>
      <c r="AF375" s="4355"/>
      <c r="AG375" s="4355"/>
      <c r="AH375" s="4355"/>
      <c r="AI375" s="4355"/>
      <c r="AJ375" s="4355"/>
      <c r="AK375" s="4355"/>
      <c r="AL375" s="4355"/>
      <c r="AM375" s="4355"/>
      <c r="AN375" s="4355"/>
      <c r="AO375" s="4355"/>
      <c r="AP375" s="4355"/>
      <c r="AQ375" s="4355"/>
      <c r="AR375" s="4355"/>
      <c r="AS375" s="4355"/>
      <c r="AT375" s="4356"/>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2">
        <f t="shared" si="210"/>
        <v>0</v>
      </c>
      <c r="H376" s="4353">
        <f t="shared" si="211"/>
        <v>0</v>
      </c>
      <c r="I376" s="4354"/>
      <c r="J376" s="4354"/>
      <c r="K376" s="4354"/>
      <c r="L376" s="4354"/>
      <c r="M376" s="4354"/>
      <c r="N376" s="4354"/>
      <c r="O376" s="4354"/>
      <c r="P376" s="4354"/>
      <c r="Q376" s="4354"/>
      <c r="R376" s="4354"/>
      <c r="S376" s="4354"/>
      <c r="T376" s="4354"/>
      <c r="U376" s="4354"/>
      <c r="V376" s="4354"/>
      <c r="W376" s="4354"/>
      <c r="X376" s="4354"/>
      <c r="Y376" s="4354"/>
      <c r="Z376" s="4354"/>
      <c r="AA376" s="4354"/>
      <c r="AB376" s="4354"/>
      <c r="AC376" s="403">
        <f t="shared" si="212"/>
        <v>0</v>
      </c>
      <c r="AD376" s="4355"/>
      <c r="AE376" s="4355"/>
      <c r="AF376" s="4355"/>
      <c r="AG376" s="4355"/>
      <c r="AH376" s="4355"/>
      <c r="AI376" s="4355"/>
      <c r="AJ376" s="4355"/>
      <c r="AK376" s="4355"/>
      <c r="AL376" s="4355"/>
      <c r="AM376" s="4355"/>
      <c r="AN376" s="4355"/>
      <c r="AO376" s="4355"/>
      <c r="AP376" s="4355"/>
      <c r="AQ376" s="4355"/>
      <c r="AR376" s="4355"/>
      <c r="AS376" s="4355"/>
      <c r="AT376" s="4356"/>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2">
        <f t="shared" si="210"/>
        <v>0</v>
      </c>
      <c r="H377" s="4353">
        <f t="shared" si="211"/>
        <v>0</v>
      </c>
      <c r="I377" s="4354"/>
      <c r="J377" s="4354"/>
      <c r="K377" s="4354"/>
      <c r="L377" s="4354"/>
      <c r="M377" s="4354"/>
      <c r="N377" s="4354"/>
      <c r="O377" s="4354"/>
      <c r="P377" s="4354"/>
      <c r="Q377" s="4354"/>
      <c r="R377" s="4354"/>
      <c r="S377" s="4354"/>
      <c r="T377" s="4354"/>
      <c r="U377" s="4354"/>
      <c r="V377" s="4354"/>
      <c r="W377" s="4354"/>
      <c r="X377" s="4354"/>
      <c r="Y377" s="4354"/>
      <c r="Z377" s="4354"/>
      <c r="AA377" s="4354"/>
      <c r="AB377" s="4354"/>
      <c r="AC377" s="403">
        <f t="shared" si="212"/>
        <v>0</v>
      </c>
      <c r="AD377" s="4355"/>
      <c r="AE377" s="4355"/>
      <c r="AF377" s="4355"/>
      <c r="AG377" s="4355"/>
      <c r="AH377" s="4355"/>
      <c r="AI377" s="4355"/>
      <c r="AJ377" s="4355"/>
      <c r="AK377" s="4355"/>
      <c r="AL377" s="4355"/>
      <c r="AM377" s="4355"/>
      <c r="AN377" s="4355"/>
      <c r="AO377" s="4355"/>
      <c r="AP377" s="4355"/>
      <c r="AQ377" s="4355"/>
      <c r="AR377" s="4355"/>
      <c r="AS377" s="4355"/>
      <c r="AT377" s="4356"/>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2">
        <f t="shared" si="210"/>
        <v>0</v>
      </c>
      <c r="H378" s="4353">
        <f t="shared" si="211"/>
        <v>0</v>
      </c>
      <c r="I378" s="4354"/>
      <c r="J378" s="4354"/>
      <c r="K378" s="4354"/>
      <c r="L378" s="4354"/>
      <c r="M378" s="4354"/>
      <c r="N378" s="4354"/>
      <c r="O378" s="4354"/>
      <c r="P378" s="4354"/>
      <c r="Q378" s="4354"/>
      <c r="R378" s="4354"/>
      <c r="S378" s="4354"/>
      <c r="T378" s="4354"/>
      <c r="U378" s="4354"/>
      <c r="V378" s="4354"/>
      <c r="W378" s="4354"/>
      <c r="X378" s="4354"/>
      <c r="Y378" s="4354"/>
      <c r="Z378" s="4354"/>
      <c r="AA378" s="4354"/>
      <c r="AB378" s="4354"/>
      <c r="AC378" s="403">
        <f t="shared" si="212"/>
        <v>0</v>
      </c>
      <c r="AD378" s="4355"/>
      <c r="AE378" s="4355"/>
      <c r="AF378" s="4355"/>
      <c r="AG378" s="4355"/>
      <c r="AH378" s="4355"/>
      <c r="AI378" s="4355"/>
      <c r="AJ378" s="4355"/>
      <c r="AK378" s="4355"/>
      <c r="AL378" s="4355"/>
      <c r="AM378" s="4355"/>
      <c r="AN378" s="4355"/>
      <c r="AO378" s="4355"/>
      <c r="AP378" s="4355"/>
      <c r="AQ378" s="4355"/>
      <c r="AR378" s="4355"/>
      <c r="AS378" s="4355"/>
      <c r="AT378" s="4356"/>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2">
        <f t="shared" si="210"/>
        <v>0</v>
      </c>
      <c r="H379" s="4353">
        <f t="shared" si="211"/>
        <v>0</v>
      </c>
      <c r="I379" s="4354"/>
      <c r="J379" s="4354"/>
      <c r="K379" s="4354"/>
      <c r="L379" s="4354"/>
      <c r="M379" s="4354"/>
      <c r="N379" s="4354"/>
      <c r="O379" s="4354"/>
      <c r="P379" s="4354"/>
      <c r="Q379" s="4354"/>
      <c r="R379" s="4354"/>
      <c r="S379" s="4354"/>
      <c r="T379" s="4354"/>
      <c r="U379" s="4354"/>
      <c r="V379" s="4354"/>
      <c r="W379" s="4354"/>
      <c r="X379" s="4354"/>
      <c r="Y379" s="4354"/>
      <c r="Z379" s="4354"/>
      <c r="AA379" s="4354"/>
      <c r="AB379" s="4354"/>
      <c r="AC379" s="403">
        <f t="shared" si="212"/>
        <v>0</v>
      </c>
      <c r="AD379" s="4355"/>
      <c r="AE379" s="4355"/>
      <c r="AF379" s="4355"/>
      <c r="AG379" s="4355"/>
      <c r="AH379" s="4355"/>
      <c r="AI379" s="4355"/>
      <c r="AJ379" s="4355"/>
      <c r="AK379" s="4355"/>
      <c r="AL379" s="4355"/>
      <c r="AM379" s="4355"/>
      <c r="AN379" s="4355"/>
      <c r="AO379" s="4355"/>
      <c r="AP379" s="4355"/>
      <c r="AQ379" s="4355"/>
      <c r="AR379" s="4355"/>
      <c r="AS379" s="4355"/>
      <c r="AT379" s="4356"/>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2">
        <f t="shared" si="210"/>
        <v>0</v>
      </c>
      <c r="H380" s="4353">
        <f t="shared" si="211"/>
        <v>0</v>
      </c>
      <c r="I380" s="4354"/>
      <c r="J380" s="4354"/>
      <c r="K380" s="4354"/>
      <c r="L380" s="4354"/>
      <c r="M380" s="4354"/>
      <c r="N380" s="4354"/>
      <c r="O380" s="4354"/>
      <c r="P380" s="4354"/>
      <c r="Q380" s="4354"/>
      <c r="R380" s="4354"/>
      <c r="S380" s="4354"/>
      <c r="T380" s="4354"/>
      <c r="U380" s="4354"/>
      <c r="V380" s="4354"/>
      <c r="W380" s="4354"/>
      <c r="X380" s="4354"/>
      <c r="Y380" s="4354"/>
      <c r="Z380" s="4354"/>
      <c r="AA380" s="4354"/>
      <c r="AB380" s="4354"/>
      <c r="AC380" s="403">
        <f t="shared" si="212"/>
        <v>0</v>
      </c>
      <c r="AD380" s="4355"/>
      <c r="AE380" s="4355"/>
      <c r="AF380" s="4355"/>
      <c r="AG380" s="4355"/>
      <c r="AH380" s="4355"/>
      <c r="AI380" s="4355"/>
      <c r="AJ380" s="4355"/>
      <c r="AK380" s="4355"/>
      <c r="AL380" s="4355"/>
      <c r="AM380" s="4355"/>
      <c r="AN380" s="4355"/>
      <c r="AO380" s="4355"/>
      <c r="AP380" s="4355"/>
      <c r="AQ380" s="4355"/>
      <c r="AR380" s="4355"/>
      <c r="AS380" s="4355"/>
      <c r="AT380" s="4356"/>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2">
        <f t="shared" si="210"/>
        <v>0</v>
      </c>
      <c r="H381" s="4353">
        <f t="shared" si="211"/>
        <v>0</v>
      </c>
      <c r="I381" s="4354"/>
      <c r="J381" s="4354"/>
      <c r="K381" s="4354"/>
      <c r="L381" s="4354"/>
      <c r="M381" s="4354"/>
      <c r="N381" s="4354"/>
      <c r="O381" s="4354"/>
      <c r="P381" s="4354"/>
      <c r="Q381" s="4354"/>
      <c r="R381" s="4354"/>
      <c r="S381" s="4354"/>
      <c r="T381" s="4354"/>
      <c r="U381" s="4354"/>
      <c r="V381" s="4354"/>
      <c r="W381" s="4354"/>
      <c r="X381" s="4354"/>
      <c r="Y381" s="4354"/>
      <c r="Z381" s="4354"/>
      <c r="AA381" s="4354"/>
      <c r="AB381" s="4354"/>
      <c r="AC381" s="403">
        <f t="shared" si="212"/>
        <v>0</v>
      </c>
      <c r="AD381" s="4355"/>
      <c r="AE381" s="4355"/>
      <c r="AF381" s="4355"/>
      <c r="AG381" s="4355"/>
      <c r="AH381" s="4355"/>
      <c r="AI381" s="4355"/>
      <c r="AJ381" s="4355"/>
      <c r="AK381" s="4355"/>
      <c r="AL381" s="4355"/>
      <c r="AM381" s="4355"/>
      <c r="AN381" s="4355"/>
      <c r="AO381" s="4355"/>
      <c r="AP381" s="4355"/>
      <c r="AQ381" s="4355"/>
      <c r="AR381" s="4355"/>
      <c r="AS381" s="4355"/>
      <c r="AT381" s="4356"/>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2">
        <f t="shared" si="210"/>
        <v>0</v>
      </c>
      <c r="H382" s="4353">
        <f t="shared" si="211"/>
        <v>0</v>
      </c>
      <c r="I382" s="4354"/>
      <c r="J382" s="4354"/>
      <c r="K382" s="4354"/>
      <c r="L382" s="4354"/>
      <c r="M382" s="4354"/>
      <c r="N382" s="4354"/>
      <c r="O382" s="4354"/>
      <c r="P382" s="4354"/>
      <c r="Q382" s="4354"/>
      <c r="R382" s="4354"/>
      <c r="S382" s="4354"/>
      <c r="T382" s="4354"/>
      <c r="U382" s="4354"/>
      <c r="V382" s="4354"/>
      <c r="W382" s="4354"/>
      <c r="X382" s="4354"/>
      <c r="Y382" s="4354"/>
      <c r="Z382" s="4354"/>
      <c r="AA382" s="4354"/>
      <c r="AB382" s="4354"/>
      <c r="AC382" s="403">
        <f t="shared" si="212"/>
        <v>0</v>
      </c>
      <c r="AD382" s="4355"/>
      <c r="AE382" s="4355"/>
      <c r="AF382" s="4355"/>
      <c r="AG382" s="4355"/>
      <c r="AH382" s="4355"/>
      <c r="AI382" s="4355"/>
      <c r="AJ382" s="4355"/>
      <c r="AK382" s="4355"/>
      <c r="AL382" s="4355"/>
      <c r="AM382" s="4355"/>
      <c r="AN382" s="4355"/>
      <c r="AO382" s="4355"/>
      <c r="AP382" s="4355"/>
      <c r="AQ382" s="4355"/>
      <c r="AR382" s="4355"/>
      <c r="AS382" s="4355"/>
      <c r="AT382" s="4356"/>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2">
        <f t="shared" si="210"/>
        <v>0</v>
      </c>
      <c r="H383" s="4353">
        <f t="shared" si="211"/>
        <v>0</v>
      </c>
      <c r="I383" s="4354"/>
      <c r="J383" s="4354"/>
      <c r="K383" s="4354"/>
      <c r="L383" s="4354"/>
      <c r="M383" s="4354"/>
      <c r="N383" s="4354"/>
      <c r="O383" s="4354"/>
      <c r="P383" s="4354"/>
      <c r="Q383" s="4354"/>
      <c r="R383" s="4354"/>
      <c r="S383" s="4354"/>
      <c r="T383" s="4354"/>
      <c r="U383" s="4354"/>
      <c r="V383" s="4354"/>
      <c r="W383" s="4354"/>
      <c r="X383" s="4354"/>
      <c r="Y383" s="4354"/>
      <c r="Z383" s="4354"/>
      <c r="AA383" s="4354"/>
      <c r="AB383" s="4354"/>
      <c r="AC383" s="403">
        <f t="shared" si="212"/>
        <v>0</v>
      </c>
      <c r="AD383" s="4355"/>
      <c r="AE383" s="4355"/>
      <c r="AF383" s="4355"/>
      <c r="AG383" s="4355"/>
      <c r="AH383" s="4355"/>
      <c r="AI383" s="4355"/>
      <c r="AJ383" s="4355"/>
      <c r="AK383" s="4355"/>
      <c r="AL383" s="4355"/>
      <c r="AM383" s="4355"/>
      <c r="AN383" s="4355"/>
      <c r="AO383" s="4355"/>
      <c r="AP383" s="4355"/>
      <c r="AQ383" s="4355"/>
      <c r="AR383" s="4355"/>
      <c r="AS383" s="4355"/>
      <c r="AT383" s="4356"/>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2">
        <f t="shared" si="210"/>
        <v>0</v>
      </c>
      <c r="H384" s="4353">
        <f t="shared" si="211"/>
        <v>0</v>
      </c>
      <c r="I384" s="4354"/>
      <c r="J384" s="4354"/>
      <c r="K384" s="4354"/>
      <c r="L384" s="4354"/>
      <c r="M384" s="4354"/>
      <c r="N384" s="4354"/>
      <c r="O384" s="4354"/>
      <c r="P384" s="4354"/>
      <c r="Q384" s="4354"/>
      <c r="R384" s="4354"/>
      <c r="S384" s="4354"/>
      <c r="T384" s="4354"/>
      <c r="U384" s="4354"/>
      <c r="V384" s="4354"/>
      <c r="W384" s="4354"/>
      <c r="X384" s="4354"/>
      <c r="Y384" s="4354"/>
      <c r="Z384" s="4354"/>
      <c r="AA384" s="4354"/>
      <c r="AB384" s="4354"/>
      <c r="AC384" s="403">
        <f t="shared" si="212"/>
        <v>0</v>
      </c>
      <c r="AD384" s="4355"/>
      <c r="AE384" s="4355"/>
      <c r="AF384" s="4355"/>
      <c r="AG384" s="4355"/>
      <c r="AH384" s="4355"/>
      <c r="AI384" s="4355"/>
      <c r="AJ384" s="4355"/>
      <c r="AK384" s="4355"/>
      <c r="AL384" s="4355"/>
      <c r="AM384" s="4355"/>
      <c r="AN384" s="4355"/>
      <c r="AO384" s="4355"/>
      <c r="AP384" s="4355"/>
      <c r="AQ384" s="4355"/>
      <c r="AR384" s="4355"/>
      <c r="AS384" s="4355"/>
      <c r="AT384" s="4356"/>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2">
        <f t="shared" si="210"/>
        <v>0</v>
      </c>
      <c r="H385" s="4353">
        <f t="shared" si="211"/>
        <v>0</v>
      </c>
      <c r="I385" s="4354"/>
      <c r="J385" s="4354"/>
      <c r="K385" s="4354"/>
      <c r="L385" s="4354"/>
      <c r="M385" s="4354"/>
      <c r="N385" s="4354"/>
      <c r="O385" s="4354"/>
      <c r="P385" s="4354"/>
      <c r="Q385" s="4354"/>
      <c r="R385" s="4354"/>
      <c r="S385" s="4354"/>
      <c r="T385" s="4354"/>
      <c r="U385" s="4354"/>
      <c r="V385" s="4354"/>
      <c r="W385" s="4354"/>
      <c r="X385" s="4354"/>
      <c r="Y385" s="4354"/>
      <c r="Z385" s="4354"/>
      <c r="AA385" s="4354"/>
      <c r="AB385" s="4354"/>
      <c r="AC385" s="403">
        <f t="shared" si="212"/>
        <v>0</v>
      </c>
      <c r="AD385" s="4355"/>
      <c r="AE385" s="4355"/>
      <c r="AF385" s="4355"/>
      <c r="AG385" s="4355"/>
      <c r="AH385" s="4355"/>
      <c r="AI385" s="4355"/>
      <c r="AJ385" s="4355"/>
      <c r="AK385" s="4355"/>
      <c r="AL385" s="4355"/>
      <c r="AM385" s="4355"/>
      <c r="AN385" s="4355"/>
      <c r="AO385" s="4355"/>
      <c r="AP385" s="4355"/>
      <c r="AQ385" s="4355"/>
      <c r="AR385" s="4355"/>
      <c r="AS385" s="4355"/>
      <c r="AT385" s="4356"/>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2">
        <f t="shared" si="210"/>
        <v>0</v>
      </c>
      <c r="H386" s="4353">
        <f t="shared" si="211"/>
        <v>0</v>
      </c>
      <c r="I386" s="4354"/>
      <c r="J386" s="4354"/>
      <c r="K386" s="4354"/>
      <c r="L386" s="4354"/>
      <c r="M386" s="4354"/>
      <c r="N386" s="4354"/>
      <c r="O386" s="4354"/>
      <c r="P386" s="4354"/>
      <c r="Q386" s="4354"/>
      <c r="R386" s="4354"/>
      <c r="S386" s="4354"/>
      <c r="T386" s="4354"/>
      <c r="U386" s="4354"/>
      <c r="V386" s="4354"/>
      <c r="W386" s="4354"/>
      <c r="X386" s="4354"/>
      <c r="Y386" s="4354"/>
      <c r="Z386" s="4354"/>
      <c r="AA386" s="4354"/>
      <c r="AB386" s="4354"/>
      <c r="AC386" s="403">
        <f t="shared" si="212"/>
        <v>0</v>
      </c>
      <c r="AD386" s="4355"/>
      <c r="AE386" s="4355"/>
      <c r="AF386" s="4355"/>
      <c r="AG386" s="4355"/>
      <c r="AH386" s="4355"/>
      <c r="AI386" s="4355"/>
      <c r="AJ386" s="4355"/>
      <c r="AK386" s="4355"/>
      <c r="AL386" s="4355"/>
      <c r="AM386" s="4355"/>
      <c r="AN386" s="4355"/>
      <c r="AO386" s="4355"/>
      <c r="AP386" s="4355"/>
      <c r="AQ386" s="4355"/>
      <c r="AR386" s="4355"/>
      <c r="AS386" s="4355"/>
      <c r="AT386" s="4356"/>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2">
        <f t="shared" si="210"/>
        <v>0</v>
      </c>
      <c r="H387" s="4353">
        <f t="shared" si="211"/>
        <v>0</v>
      </c>
      <c r="I387" s="4354"/>
      <c r="J387" s="4354"/>
      <c r="K387" s="4354"/>
      <c r="L387" s="4354"/>
      <c r="M387" s="4354"/>
      <c r="N387" s="4354"/>
      <c r="O387" s="4354"/>
      <c r="P387" s="4354"/>
      <c r="Q387" s="4354"/>
      <c r="R387" s="4354"/>
      <c r="S387" s="4354"/>
      <c r="T387" s="4354"/>
      <c r="U387" s="4354"/>
      <c r="V387" s="4354"/>
      <c r="W387" s="4354"/>
      <c r="X387" s="4354"/>
      <c r="Y387" s="4354"/>
      <c r="Z387" s="4354"/>
      <c r="AA387" s="4354"/>
      <c r="AB387" s="4354"/>
      <c r="AC387" s="403">
        <f t="shared" si="212"/>
        <v>0</v>
      </c>
      <c r="AD387" s="4355"/>
      <c r="AE387" s="4355"/>
      <c r="AF387" s="4355"/>
      <c r="AG387" s="4355"/>
      <c r="AH387" s="4355"/>
      <c r="AI387" s="4355"/>
      <c r="AJ387" s="4355"/>
      <c r="AK387" s="4355"/>
      <c r="AL387" s="4355"/>
      <c r="AM387" s="4355"/>
      <c r="AN387" s="4355"/>
      <c r="AO387" s="4355"/>
      <c r="AP387" s="4355"/>
      <c r="AQ387" s="4355"/>
      <c r="AR387" s="4355"/>
      <c r="AS387" s="4355"/>
      <c r="AT387" s="4356"/>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2">
        <f t="shared" si="210"/>
        <v>0</v>
      </c>
      <c r="H388" s="4353">
        <f t="shared" si="211"/>
        <v>0</v>
      </c>
      <c r="I388" s="4354"/>
      <c r="J388" s="4354"/>
      <c r="K388" s="4354"/>
      <c r="L388" s="4354"/>
      <c r="M388" s="4354"/>
      <c r="N388" s="4354"/>
      <c r="O388" s="4354"/>
      <c r="P388" s="4354"/>
      <c r="Q388" s="4354"/>
      <c r="R388" s="4354"/>
      <c r="S388" s="4354"/>
      <c r="T388" s="4354"/>
      <c r="U388" s="4354"/>
      <c r="V388" s="4354"/>
      <c r="W388" s="4354"/>
      <c r="X388" s="4354"/>
      <c r="Y388" s="4354"/>
      <c r="Z388" s="4354"/>
      <c r="AA388" s="4354"/>
      <c r="AB388" s="4354"/>
      <c r="AC388" s="403">
        <f t="shared" si="212"/>
        <v>0</v>
      </c>
      <c r="AD388" s="4355"/>
      <c r="AE388" s="4355"/>
      <c r="AF388" s="4355"/>
      <c r="AG388" s="4355"/>
      <c r="AH388" s="4355"/>
      <c r="AI388" s="4355"/>
      <c r="AJ388" s="4355"/>
      <c r="AK388" s="4355"/>
      <c r="AL388" s="4355"/>
      <c r="AM388" s="4355"/>
      <c r="AN388" s="4355"/>
      <c r="AO388" s="4355"/>
      <c r="AP388" s="4355"/>
      <c r="AQ388" s="4355"/>
      <c r="AR388" s="4355"/>
      <c r="AS388" s="4355"/>
      <c r="AT388" s="4356"/>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2">
        <f t="shared" si="210"/>
        <v>0</v>
      </c>
      <c r="H389" s="4353">
        <f t="shared" si="211"/>
        <v>0</v>
      </c>
      <c r="I389" s="4354"/>
      <c r="J389" s="4354"/>
      <c r="K389" s="4354"/>
      <c r="L389" s="4354"/>
      <c r="M389" s="4354"/>
      <c r="N389" s="4354"/>
      <c r="O389" s="4354"/>
      <c r="P389" s="4354"/>
      <c r="Q389" s="4354"/>
      <c r="R389" s="4354"/>
      <c r="S389" s="4354"/>
      <c r="T389" s="4354"/>
      <c r="U389" s="4354"/>
      <c r="V389" s="4354"/>
      <c r="W389" s="4354"/>
      <c r="X389" s="4354"/>
      <c r="Y389" s="4354"/>
      <c r="Z389" s="4354"/>
      <c r="AA389" s="4354"/>
      <c r="AB389" s="4354"/>
      <c r="AC389" s="403">
        <f t="shared" si="212"/>
        <v>0</v>
      </c>
      <c r="AD389" s="4355"/>
      <c r="AE389" s="4355"/>
      <c r="AF389" s="4355"/>
      <c r="AG389" s="4355"/>
      <c r="AH389" s="4355"/>
      <c r="AI389" s="4355"/>
      <c r="AJ389" s="4355"/>
      <c r="AK389" s="4355"/>
      <c r="AL389" s="4355"/>
      <c r="AM389" s="4355"/>
      <c r="AN389" s="4355"/>
      <c r="AO389" s="4355"/>
      <c r="AP389" s="4355"/>
      <c r="AQ389" s="4355"/>
      <c r="AR389" s="4355"/>
      <c r="AS389" s="4355"/>
      <c r="AT389" s="4356"/>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2">
        <f t="shared" si="210"/>
        <v>0</v>
      </c>
      <c r="H390" s="4353">
        <f t="shared" si="211"/>
        <v>0</v>
      </c>
      <c r="I390" s="4354"/>
      <c r="J390" s="4354"/>
      <c r="K390" s="4354"/>
      <c r="L390" s="4354"/>
      <c r="M390" s="4354"/>
      <c r="N390" s="4354"/>
      <c r="O390" s="4354"/>
      <c r="P390" s="4354"/>
      <c r="Q390" s="4354"/>
      <c r="R390" s="4354"/>
      <c r="S390" s="4354"/>
      <c r="T390" s="4354"/>
      <c r="U390" s="4354"/>
      <c r="V390" s="4354"/>
      <c r="W390" s="4354"/>
      <c r="X390" s="4354"/>
      <c r="Y390" s="4354"/>
      <c r="Z390" s="4354"/>
      <c r="AA390" s="4354"/>
      <c r="AB390" s="4354"/>
      <c r="AC390" s="403">
        <f t="shared" si="212"/>
        <v>0</v>
      </c>
      <c r="AD390" s="4355"/>
      <c r="AE390" s="4355"/>
      <c r="AF390" s="4355"/>
      <c r="AG390" s="4355"/>
      <c r="AH390" s="4355"/>
      <c r="AI390" s="4355"/>
      <c r="AJ390" s="4355"/>
      <c r="AK390" s="4355"/>
      <c r="AL390" s="4355"/>
      <c r="AM390" s="4355"/>
      <c r="AN390" s="4355"/>
      <c r="AO390" s="4355"/>
      <c r="AP390" s="4355"/>
      <c r="AQ390" s="4355"/>
      <c r="AR390" s="4355"/>
      <c r="AS390" s="4355"/>
      <c r="AT390" s="4356"/>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2">
        <f t="shared" si="210"/>
        <v>0</v>
      </c>
      <c r="H391" s="4353">
        <f t="shared" si="211"/>
        <v>0</v>
      </c>
      <c r="I391" s="4354"/>
      <c r="J391" s="4354"/>
      <c r="K391" s="4354"/>
      <c r="L391" s="4354"/>
      <c r="M391" s="4354"/>
      <c r="N391" s="4354"/>
      <c r="O391" s="4354"/>
      <c r="P391" s="4354"/>
      <c r="Q391" s="4354"/>
      <c r="R391" s="4354"/>
      <c r="S391" s="4354"/>
      <c r="T391" s="4354"/>
      <c r="U391" s="4354"/>
      <c r="V391" s="4354"/>
      <c r="W391" s="4354"/>
      <c r="X391" s="4354"/>
      <c r="Y391" s="4354"/>
      <c r="Z391" s="4354"/>
      <c r="AA391" s="4354"/>
      <c r="AB391" s="4354"/>
      <c r="AC391" s="403">
        <f t="shared" si="212"/>
        <v>0</v>
      </c>
      <c r="AD391" s="4355"/>
      <c r="AE391" s="4355"/>
      <c r="AF391" s="4355"/>
      <c r="AG391" s="4355"/>
      <c r="AH391" s="4355"/>
      <c r="AI391" s="4355"/>
      <c r="AJ391" s="4355"/>
      <c r="AK391" s="4355"/>
      <c r="AL391" s="4355"/>
      <c r="AM391" s="4355"/>
      <c r="AN391" s="4355"/>
      <c r="AO391" s="4355"/>
      <c r="AP391" s="4355"/>
      <c r="AQ391" s="4355"/>
      <c r="AR391" s="4355"/>
      <c r="AS391" s="4355"/>
      <c r="AT391" s="4356"/>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2">
        <f t="shared" si="210"/>
        <v>0</v>
      </c>
      <c r="H392" s="4353">
        <f t="shared" si="211"/>
        <v>0</v>
      </c>
      <c r="I392" s="4354"/>
      <c r="J392" s="4354"/>
      <c r="K392" s="4354"/>
      <c r="L392" s="4354"/>
      <c r="M392" s="4354"/>
      <c r="N392" s="4354"/>
      <c r="O392" s="4354"/>
      <c r="P392" s="4354"/>
      <c r="Q392" s="4354"/>
      <c r="R392" s="4354"/>
      <c r="S392" s="4354"/>
      <c r="T392" s="4354"/>
      <c r="U392" s="4354"/>
      <c r="V392" s="4354"/>
      <c r="W392" s="4354"/>
      <c r="X392" s="4354"/>
      <c r="Y392" s="4354"/>
      <c r="Z392" s="4354"/>
      <c r="AA392" s="4354"/>
      <c r="AB392" s="4354"/>
      <c r="AC392" s="403">
        <f t="shared" si="212"/>
        <v>0</v>
      </c>
      <c r="AD392" s="4355"/>
      <c r="AE392" s="4355"/>
      <c r="AF392" s="4355"/>
      <c r="AG392" s="4355"/>
      <c r="AH392" s="4355"/>
      <c r="AI392" s="4355"/>
      <c r="AJ392" s="4355"/>
      <c r="AK392" s="4355"/>
      <c r="AL392" s="4355"/>
      <c r="AM392" s="4355"/>
      <c r="AN392" s="4355"/>
      <c r="AO392" s="4355"/>
      <c r="AP392" s="4355"/>
      <c r="AQ392" s="4355"/>
      <c r="AR392" s="4355"/>
      <c r="AS392" s="4355"/>
      <c r="AT392" s="4356"/>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2">
        <f t="shared" si="210"/>
        <v>0</v>
      </c>
      <c r="H393" s="4353">
        <f t="shared" si="211"/>
        <v>0</v>
      </c>
      <c r="I393" s="4354"/>
      <c r="J393" s="4354"/>
      <c r="K393" s="4354"/>
      <c r="L393" s="4354"/>
      <c r="M393" s="4354"/>
      <c r="N393" s="4354"/>
      <c r="O393" s="4354"/>
      <c r="P393" s="4354"/>
      <c r="Q393" s="4354"/>
      <c r="R393" s="4354"/>
      <c r="S393" s="4354"/>
      <c r="T393" s="4354"/>
      <c r="U393" s="4354"/>
      <c r="V393" s="4354"/>
      <c r="W393" s="4354"/>
      <c r="X393" s="4354"/>
      <c r="Y393" s="4354"/>
      <c r="Z393" s="4354"/>
      <c r="AA393" s="4354"/>
      <c r="AB393" s="4354"/>
      <c r="AC393" s="403">
        <f t="shared" si="212"/>
        <v>0</v>
      </c>
      <c r="AD393" s="4355"/>
      <c r="AE393" s="4355"/>
      <c r="AF393" s="4355"/>
      <c r="AG393" s="4355"/>
      <c r="AH393" s="4355"/>
      <c r="AI393" s="4355"/>
      <c r="AJ393" s="4355"/>
      <c r="AK393" s="4355"/>
      <c r="AL393" s="4355"/>
      <c r="AM393" s="4355"/>
      <c r="AN393" s="4355"/>
      <c r="AO393" s="4355"/>
      <c r="AP393" s="4355"/>
      <c r="AQ393" s="4355"/>
      <c r="AR393" s="4355"/>
      <c r="AS393" s="4355"/>
      <c r="AT393" s="4356"/>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2">
        <f t="shared" si="210"/>
        <v>0</v>
      </c>
      <c r="H394" s="4353">
        <f t="shared" si="211"/>
        <v>0</v>
      </c>
      <c r="I394" s="4354"/>
      <c r="J394" s="4354"/>
      <c r="K394" s="4354"/>
      <c r="L394" s="4354"/>
      <c r="M394" s="4354"/>
      <c r="N394" s="4354"/>
      <c r="O394" s="4354"/>
      <c r="P394" s="4354"/>
      <c r="Q394" s="4354"/>
      <c r="R394" s="4354"/>
      <c r="S394" s="4354"/>
      <c r="T394" s="4354"/>
      <c r="U394" s="4354"/>
      <c r="V394" s="4354"/>
      <c r="W394" s="4354"/>
      <c r="X394" s="4354"/>
      <c r="Y394" s="4354"/>
      <c r="Z394" s="4354"/>
      <c r="AA394" s="4354"/>
      <c r="AB394" s="4354"/>
      <c r="AC394" s="403">
        <f t="shared" si="212"/>
        <v>0</v>
      </c>
      <c r="AD394" s="4355"/>
      <c r="AE394" s="4355"/>
      <c r="AF394" s="4355"/>
      <c r="AG394" s="4355"/>
      <c r="AH394" s="4355"/>
      <c r="AI394" s="4355"/>
      <c r="AJ394" s="4355"/>
      <c r="AK394" s="4355"/>
      <c r="AL394" s="4355"/>
      <c r="AM394" s="4355"/>
      <c r="AN394" s="4355"/>
      <c r="AO394" s="4355"/>
      <c r="AP394" s="4355"/>
      <c r="AQ394" s="4355"/>
      <c r="AR394" s="4355"/>
      <c r="AS394" s="4355"/>
      <c r="AT394" s="4356"/>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2">
        <f t="shared" si="210"/>
        <v>0</v>
      </c>
      <c r="H395" s="4353">
        <f t="shared" si="211"/>
        <v>0</v>
      </c>
      <c r="I395" s="4354"/>
      <c r="J395" s="4354"/>
      <c r="K395" s="4354"/>
      <c r="L395" s="4354"/>
      <c r="M395" s="4354"/>
      <c r="N395" s="4354"/>
      <c r="O395" s="4354"/>
      <c r="P395" s="4354"/>
      <c r="Q395" s="4354"/>
      <c r="R395" s="4354"/>
      <c r="S395" s="4354"/>
      <c r="T395" s="4354"/>
      <c r="U395" s="4354"/>
      <c r="V395" s="4354"/>
      <c r="W395" s="4354"/>
      <c r="X395" s="4354"/>
      <c r="Y395" s="4354"/>
      <c r="Z395" s="4354"/>
      <c r="AA395" s="4354"/>
      <c r="AB395" s="4354"/>
      <c r="AC395" s="403">
        <f t="shared" si="212"/>
        <v>0</v>
      </c>
      <c r="AD395" s="4355"/>
      <c r="AE395" s="4355"/>
      <c r="AF395" s="4355"/>
      <c r="AG395" s="4355"/>
      <c r="AH395" s="4355"/>
      <c r="AI395" s="4355"/>
      <c r="AJ395" s="4355"/>
      <c r="AK395" s="4355"/>
      <c r="AL395" s="4355"/>
      <c r="AM395" s="4355"/>
      <c r="AN395" s="4355"/>
      <c r="AO395" s="4355"/>
      <c r="AP395" s="4355"/>
      <c r="AQ395" s="4355"/>
      <c r="AR395" s="4355"/>
      <c r="AS395" s="4355"/>
      <c r="AT395" s="4355"/>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2">
        <f>H396+AC396+AT396</f>
        <v>0</v>
      </c>
      <c r="H396" s="4353">
        <f>SUMIF(I$12:AB$12,"总值",I396:AB396)</f>
        <v>0</v>
      </c>
      <c r="I396" s="4354"/>
      <c r="J396" s="4354"/>
      <c r="K396" s="4354"/>
      <c r="L396" s="4354"/>
      <c r="M396" s="4354"/>
      <c r="N396" s="4354"/>
      <c r="O396" s="4354"/>
      <c r="P396" s="4354"/>
      <c r="Q396" s="4354"/>
      <c r="R396" s="4354"/>
      <c r="S396" s="4354"/>
      <c r="T396" s="4354"/>
      <c r="U396" s="4354"/>
      <c r="V396" s="4354"/>
      <c r="W396" s="4354"/>
      <c r="X396" s="4354"/>
      <c r="Y396" s="4354"/>
      <c r="Z396" s="4354"/>
      <c r="AA396" s="4354"/>
      <c r="AB396" s="4354"/>
      <c r="AC396" s="403">
        <f>SUMIF(AD$12:AS$12,"总值",AD396:AS396)</f>
        <v>0</v>
      </c>
      <c r="AD396" s="4355"/>
      <c r="AE396" s="4355"/>
      <c r="AF396" s="4355"/>
      <c r="AG396" s="4355"/>
      <c r="AH396" s="4355"/>
      <c r="AI396" s="4355"/>
      <c r="AJ396" s="4355"/>
      <c r="AK396" s="4355"/>
      <c r="AL396" s="4355"/>
      <c r="AM396" s="4355"/>
      <c r="AN396" s="4355"/>
      <c r="AO396" s="4355"/>
      <c r="AP396" s="4355"/>
      <c r="AQ396" s="4355"/>
      <c r="AR396" s="4355"/>
      <c r="AS396" s="4355"/>
      <c r="AT396" s="4355"/>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2">
        <f>H397+AC397+AT397</f>
        <v>0</v>
      </c>
      <c r="H397" s="4353">
        <f>SUMIF(I$12:AB$12,"总值",I397:AB397)</f>
        <v>0</v>
      </c>
      <c r="I397" s="4354"/>
      <c r="J397" s="4354"/>
      <c r="K397" s="4354"/>
      <c r="L397" s="4354"/>
      <c r="M397" s="4354"/>
      <c r="N397" s="4354"/>
      <c r="O397" s="4354"/>
      <c r="P397" s="4354"/>
      <c r="Q397" s="4354"/>
      <c r="R397" s="4354"/>
      <c r="S397" s="4354"/>
      <c r="T397" s="4354"/>
      <c r="U397" s="4354"/>
      <c r="V397" s="4354"/>
      <c r="W397" s="4354"/>
      <c r="X397" s="4354"/>
      <c r="Y397" s="4354"/>
      <c r="Z397" s="4354"/>
      <c r="AA397" s="4354"/>
      <c r="AB397" s="4354"/>
      <c r="AC397" s="403">
        <f>SUMIF(AD$12:AS$12,"总值",AD397:AS397)</f>
        <v>0</v>
      </c>
      <c r="AD397" s="4355"/>
      <c r="AE397" s="4355"/>
      <c r="AF397" s="4355"/>
      <c r="AG397" s="4355"/>
      <c r="AH397" s="4355"/>
      <c r="AI397" s="4355"/>
      <c r="AJ397" s="4355"/>
      <c r="AK397" s="4355"/>
      <c r="AL397" s="4355"/>
      <c r="AM397" s="4355"/>
      <c r="AN397" s="4355"/>
      <c r="AO397" s="4355"/>
      <c r="AP397" s="4355"/>
      <c r="AQ397" s="4355"/>
      <c r="AR397" s="4355"/>
      <c r="AS397" s="4355"/>
      <c r="AT397" s="4355"/>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2">
        <f t="shared" ref="G398:G489" si="240">H398+AC398+AT398</f>
        <v>0</v>
      </c>
      <c r="H398" s="4353">
        <f t="shared" ref="H398:H489" si="241">SUMIF(I$12:AB$12,"总值",I398:AB398)</f>
        <v>0</v>
      </c>
      <c r="I398" s="4354"/>
      <c r="J398" s="4354"/>
      <c r="K398" s="4354"/>
      <c r="L398" s="4354"/>
      <c r="M398" s="4354"/>
      <c r="N398" s="4354"/>
      <c r="O398" s="4354"/>
      <c r="P398" s="4354"/>
      <c r="Q398" s="4354"/>
      <c r="R398" s="4354"/>
      <c r="S398" s="4354"/>
      <c r="T398" s="4354"/>
      <c r="U398" s="4354"/>
      <c r="V398" s="4354"/>
      <c r="W398" s="4354"/>
      <c r="X398" s="4354"/>
      <c r="Y398" s="4354"/>
      <c r="Z398" s="4354"/>
      <c r="AA398" s="4354"/>
      <c r="AB398" s="4354"/>
      <c r="AC398" s="403">
        <f t="shared" ref="AC398:AC489" si="242">SUMIF(AD$12:AS$12,"总值",AD398:AS398)</f>
        <v>0</v>
      </c>
      <c r="AD398" s="4355"/>
      <c r="AE398" s="4355"/>
      <c r="AF398" s="4355"/>
      <c r="AG398" s="4355"/>
      <c r="AH398" s="4355"/>
      <c r="AI398" s="4355"/>
      <c r="AJ398" s="4355"/>
      <c r="AK398" s="4355"/>
      <c r="AL398" s="4355"/>
      <c r="AM398" s="4355"/>
      <c r="AN398" s="4355"/>
      <c r="AO398" s="4355"/>
      <c r="AP398" s="4355"/>
      <c r="AQ398" s="4355"/>
      <c r="AR398" s="4355"/>
      <c r="AS398" s="4355"/>
      <c r="AT398" s="4356"/>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2">
        <f t="shared" si="240"/>
        <v>0</v>
      </c>
      <c r="H399" s="4353">
        <f t="shared" si="241"/>
        <v>0</v>
      </c>
      <c r="I399" s="4354"/>
      <c r="J399" s="4354"/>
      <c r="K399" s="4354"/>
      <c r="L399" s="4354"/>
      <c r="M399" s="4354"/>
      <c r="N399" s="4354"/>
      <c r="O399" s="4354"/>
      <c r="P399" s="4354"/>
      <c r="Q399" s="4354"/>
      <c r="R399" s="4354"/>
      <c r="S399" s="4354"/>
      <c r="T399" s="4354"/>
      <c r="U399" s="4354"/>
      <c r="V399" s="4354"/>
      <c r="W399" s="4354"/>
      <c r="X399" s="4354"/>
      <c r="Y399" s="4354"/>
      <c r="Z399" s="4354"/>
      <c r="AA399" s="4354"/>
      <c r="AB399" s="4354"/>
      <c r="AC399" s="403">
        <f t="shared" si="242"/>
        <v>0</v>
      </c>
      <c r="AD399" s="4355"/>
      <c r="AE399" s="4355"/>
      <c r="AF399" s="4355"/>
      <c r="AG399" s="4355"/>
      <c r="AH399" s="4355"/>
      <c r="AI399" s="4355"/>
      <c r="AJ399" s="4355"/>
      <c r="AK399" s="4355"/>
      <c r="AL399" s="4355"/>
      <c r="AM399" s="4355"/>
      <c r="AN399" s="4355"/>
      <c r="AO399" s="4355"/>
      <c r="AP399" s="4355"/>
      <c r="AQ399" s="4355"/>
      <c r="AR399" s="4355"/>
      <c r="AS399" s="4355"/>
      <c r="AT399" s="4356"/>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2">
        <f t="shared" si="240"/>
        <v>0</v>
      </c>
      <c r="H400" s="4353">
        <f t="shared" si="241"/>
        <v>0</v>
      </c>
      <c r="I400" s="4354"/>
      <c r="J400" s="4354"/>
      <c r="K400" s="4354"/>
      <c r="L400" s="4354"/>
      <c r="M400" s="4354"/>
      <c r="N400" s="4354"/>
      <c r="O400" s="4354"/>
      <c r="P400" s="4354"/>
      <c r="Q400" s="4354"/>
      <c r="R400" s="4354"/>
      <c r="S400" s="4354"/>
      <c r="T400" s="4354"/>
      <c r="U400" s="4354"/>
      <c r="V400" s="4354"/>
      <c r="W400" s="4354"/>
      <c r="X400" s="4354"/>
      <c r="Y400" s="4354"/>
      <c r="Z400" s="4354"/>
      <c r="AA400" s="4354"/>
      <c r="AB400" s="4354"/>
      <c r="AC400" s="403">
        <f t="shared" si="242"/>
        <v>0</v>
      </c>
      <c r="AD400" s="4355"/>
      <c r="AE400" s="4355"/>
      <c r="AF400" s="4355"/>
      <c r="AG400" s="4355"/>
      <c r="AH400" s="4355"/>
      <c r="AI400" s="4355"/>
      <c r="AJ400" s="4355"/>
      <c r="AK400" s="4355"/>
      <c r="AL400" s="4355"/>
      <c r="AM400" s="4355"/>
      <c r="AN400" s="4355"/>
      <c r="AO400" s="4355"/>
      <c r="AP400" s="4355"/>
      <c r="AQ400" s="4355"/>
      <c r="AR400" s="4355"/>
      <c r="AS400" s="4355"/>
      <c r="AT400" s="4356"/>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2">
        <f t="shared" si="240"/>
        <v>0</v>
      </c>
      <c r="H401" s="4353">
        <f t="shared" si="241"/>
        <v>0</v>
      </c>
      <c r="I401" s="4354"/>
      <c r="J401" s="4354"/>
      <c r="K401" s="4354"/>
      <c r="L401" s="4354"/>
      <c r="M401" s="4354"/>
      <c r="N401" s="4354"/>
      <c r="O401" s="4354"/>
      <c r="P401" s="4354"/>
      <c r="Q401" s="4354"/>
      <c r="R401" s="4354"/>
      <c r="S401" s="4354"/>
      <c r="T401" s="4354"/>
      <c r="U401" s="4354"/>
      <c r="V401" s="4354"/>
      <c r="W401" s="4354"/>
      <c r="X401" s="4354"/>
      <c r="Y401" s="4354"/>
      <c r="Z401" s="4354"/>
      <c r="AA401" s="4354"/>
      <c r="AB401" s="4354"/>
      <c r="AC401" s="403">
        <f t="shared" si="242"/>
        <v>0</v>
      </c>
      <c r="AD401" s="4355"/>
      <c r="AE401" s="4355"/>
      <c r="AF401" s="4355"/>
      <c r="AG401" s="4355"/>
      <c r="AH401" s="4355"/>
      <c r="AI401" s="4355"/>
      <c r="AJ401" s="4355"/>
      <c r="AK401" s="4355"/>
      <c r="AL401" s="4355"/>
      <c r="AM401" s="4355"/>
      <c r="AN401" s="4355"/>
      <c r="AO401" s="4355"/>
      <c r="AP401" s="4355"/>
      <c r="AQ401" s="4355"/>
      <c r="AR401" s="4355"/>
      <c r="AS401" s="4355"/>
      <c r="AT401" s="4356"/>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2">
        <f t="shared" si="240"/>
        <v>0</v>
      </c>
      <c r="H402" s="4353">
        <f t="shared" si="241"/>
        <v>0</v>
      </c>
      <c r="I402" s="4354"/>
      <c r="J402" s="4354"/>
      <c r="K402" s="4354"/>
      <c r="L402" s="4354"/>
      <c r="M402" s="4354"/>
      <c r="N402" s="4354"/>
      <c r="O402" s="4354"/>
      <c r="P402" s="4354"/>
      <c r="Q402" s="4354"/>
      <c r="R402" s="4354"/>
      <c r="S402" s="4354"/>
      <c r="T402" s="4354"/>
      <c r="U402" s="4354"/>
      <c r="V402" s="4354"/>
      <c r="W402" s="4354"/>
      <c r="X402" s="4354"/>
      <c r="Y402" s="4354"/>
      <c r="Z402" s="4354"/>
      <c r="AA402" s="4354"/>
      <c r="AB402" s="4354"/>
      <c r="AC402" s="403">
        <f t="shared" si="242"/>
        <v>0</v>
      </c>
      <c r="AD402" s="4355"/>
      <c r="AE402" s="4355"/>
      <c r="AF402" s="4355"/>
      <c r="AG402" s="4355"/>
      <c r="AH402" s="4355"/>
      <c r="AI402" s="4355"/>
      <c r="AJ402" s="4355"/>
      <c r="AK402" s="4355"/>
      <c r="AL402" s="4355"/>
      <c r="AM402" s="4355"/>
      <c r="AN402" s="4355"/>
      <c r="AO402" s="4355"/>
      <c r="AP402" s="4355"/>
      <c r="AQ402" s="4355"/>
      <c r="AR402" s="4355"/>
      <c r="AS402" s="4355"/>
      <c r="AT402" s="4356"/>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2">
        <f t="shared" si="240"/>
        <v>0</v>
      </c>
      <c r="H403" s="4353">
        <f t="shared" si="241"/>
        <v>0</v>
      </c>
      <c r="I403" s="4354"/>
      <c r="J403" s="4354"/>
      <c r="K403" s="4354"/>
      <c r="L403" s="4354"/>
      <c r="M403" s="4354"/>
      <c r="N403" s="4354"/>
      <c r="O403" s="4354"/>
      <c r="P403" s="4354"/>
      <c r="Q403" s="4354"/>
      <c r="R403" s="4354"/>
      <c r="S403" s="4354"/>
      <c r="T403" s="4354"/>
      <c r="U403" s="4354"/>
      <c r="V403" s="4354"/>
      <c r="W403" s="4354"/>
      <c r="X403" s="4354"/>
      <c r="Y403" s="4354"/>
      <c r="Z403" s="4354"/>
      <c r="AA403" s="4354"/>
      <c r="AB403" s="4354"/>
      <c r="AC403" s="403">
        <f t="shared" si="242"/>
        <v>0</v>
      </c>
      <c r="AD403" s="4355"/>
      <c r="AE403" s="4355"/>
      <c r="AF403" s="4355"/>
      <c r="AG403" s="4355"/>
      <c r="AH403" s="4355"/>
      <c r="AI403" s="4355"/>
      <c r="AJ403" s="4355"/>
      <c r="AK403" s="4355"/>
      <c r="AL403" s="4355"/>
      <c r="AM403" s="4355"/>
      <c r="AN403" s="4355"/>
      <c r="AO403" s="4355"/>
      <c r="AP403" s="4355"/>
      <c r="AQ403" s="4355"/>
      <c r="AR403" s="4355"/>
      <c r="AS403" s="4355"/>
      <c r="AT403" s="4356"/>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2">
        <f t="shared" si="240"/>
        <v>0</v>
      </c>
      <c r="H404" s="4353">
        <f t="shared" si="241"/>
        <v>0</v>
      </c>
      <c r="I404" s="4354"/>
      <c r="J404" s="4354"/>
      <c r="K404" s="4354"/>
      <c r="L404" s="4354"/>
      <c r="M404" s="4354"/>
      <c r="N404" s="4354"/>
      <c r="O404" s="4354"/>
      <c r="P404" s="4354"/>
      <c r="Q404" s="4354"/>
      <c r="R404" s="4354"/>
      <c r="S404" s="4354"/>
      <c r="T404" s="4354"/>
      <c r="U404" s="4354"/>
      <c r="V404" s="4354"/>
      <c r="W404" s="4354"/>
      <c r="X404" s="4354"/>
      <c r="Y404" s="4354"/>
      <c r="Z404" s="4354"/>
      <c r="AA404" s="4354"/>
      <c r="AB404" s="4354"/>
      <c r="AC404" s="403">
        <f t="shared" si="242"/>
        <v>0</v>
      </c>
      <c r="AD404" s="4355"/>
      <c r="AE404" s="4355"/>
      <c r="AF404" s="4355"/>
      <c r="AG404" s="4355"/>
      <c r="AH404" s="4355"/>
      <c r="AI404" s="4355"/>
      <c r="AJ404" s="4355"/>
      <c r="AK404" s="4355"/>
      <c r="AL404" s="4355"/>
      <c r="AM404" s="4355"/>
      <c r="AN404" s="4355"/>
      <c r="AO404" s="4355"/>
      <c r="AP404" s="4355"/>
      <c r="AQ404" s="4355"/>
      <c r="AR404" s="4355"/>
      <c r="AS404" s="4355"/>
      <c r="AT404" s="4356"/>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2">
        <f t="shared" si="240"/>
        <v>0</v>
      </c>
      <c r="H405" s="4353">
        <f t="shared" si="241"/>
        <v>0</v>
      </c>
      <c r="I405" s="4354"/>
      <c r="J405" s="4354"/>
      <c r="K405" s="4354"/>
      <c r="L405" s="4354"/>
      <c r="M405" s="4354"/>
      <c r="N405" s="4354"/>
      <c r="O405" s="4354"/>
      <c r="P405" s="4354"/>
      <c r="Q405" s="4354"/>
      <c r="R405" s="4354"/>
      <c r="S405" s="4354"/>
      <c r="T405" s="4354"/>
      <c r="U405" s="4354"/>
      <c r="V405" s="4354"/>
      <c r="W405" s="4354"/>
      <c r="X405" s="4354"/>
      <c r="Y405" s="4354"/>
      <c r="Z405" s="4354"/>
      <c r="AA405" s="4354"/>
      <c r="AB405" s="4354"/>
      <c r="AC405" s="403">
        <f t="shared" si="242"/>
        <v>0</v>
      </c>
      <c r="AD405" s="4355"/>
      <c r="AE405" s="4355"/>
      <c r="AF405" s="4355"/>
      <c r="AG405" s="4355"/>
      <c r="AH405" s="4355"/>
      <c r="AI405" s="4355"/>
      <c r="AJ405" s="4355"/>
      <c r="AK405" s="4355"/>
      <c r="AL405" s="4355"/>
      <c r="AM405" s="4355"/>
      <c r="AN405" s="4355"/>
      <c r="AO405" s="4355"/>
      <c r="AP405" s="4355"/>
      <c r="AQ405" s="4355"/>
      <c r="AR405" s="4355"/>
      <c r="AS405" s="4355"/>
      <c r="AT405" s="4356"/>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2">
        <f t="shared" si="240"/>
        <v>0</v>
      </c>
      <c r="H406" s="4353">
        <f t="shared" si="241"/>
        <v>0</v>
      </c>
      <c r="I406" s="4354"/>
      <c r="J406" s="4354"/>
      <c r="K406" s="4354"/>
      <c r="L406" s="4354"/>
      <c r="M406" s="4354"/>
      <c r="N406" s="4354"/>
      <c r="O406" s="4354"/>
      <c r="P406" s="4354"/>
      <c r="Q406" s="4354"/>
      <c r="R406" s="4354"/>
      <c r="S406" s="4354"/>
      <c r="T406" s="4354"/>
      <c r="U406" s="4354"/>
      <c r="V406" s="4354"/>
      <c r="W406" s="4354"/>
      <c r="X406" s="4354"/>
      <c r="Y406" s="4354"/>
      <c r="Z406" s="4354"/>
      <c r="AA406" s="4354"/>
      <c r="AB406" s="4354"/>
      <c r="AC406" s="403">
        <f t="shared" si="242"/>
        <v>0</v>
      </c>
      <c r="AD406" s="4355"/>
      <c r="AE406" s="4355"/>
      <c r="AF406" s="4355"/>
      <c r="AG406" s="4355"/>
      <c r="AH406" s="4355"/>
      <c r="AI406" s="4355"/>
      <c r="AJ406" s="4355"/>
      <c r="AK406" s="4355"/>
      <c r="AL406" s="4355"/>
      <c r="AM406" s="4355"/>
      <c r="AN406" s="4355"/>
      <c r="AO406" s="4355"/>
      <c r="AP406" s="4355"/>
      <c r="AQ406" s="4355"/>
      <c r="AR406" s="4355"/>
      <c r="AS406" s="4355"/>
      <c r="AT406" s="4356"/>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2">
        <f t="shared" si="240"/>
        <v>0</v>
      </c>
      <c r="H407" s="4353">
        <f t="shared" si="241"/>
        <v>0</v>
      </c>
      <c r="I407" s="4354"/>
      <c r="J407" s="4354"/>
      <c r="K407" s="4354"/>
      <c r="L407" s="4354"/>
      <c r="M407" s="4354"/>
      <c r="N407" s="4354"/>
      <c r="O407" s="4354"/>
      <c r="P407" s="4354"/>
      <c r="Q407" s="4354"/>
      <c r="R407" s="4354"/>
      <c r="S407" s="4354"/>
      <c r="T407" s="4354"/>
      <c r="U407" s="4354"/>
      <c r="V407" s="4354"/>
      <c r="W407" s="4354"/>
      <c r="X407" s="4354"/>
      <c r="Y407" s="4354"/>
      <c r="Z407" s="4354"/>
      <c r="AA407" s="4354"/>
      <c r="AB407" s="4354"/>
      <c r="AC407" s="403">
        <f t="shared" si="242"/>
        <v>0</v>
      </c>
      <c r="AD407" s="4355"/>
      <c r="AE407" s="4355"/>
      <c r="AF407" s="4355"/>
      <c r="AG407" s="4355"/>
      <c r="AH407" s="4355"/>
      <c r="AI407" s="4355"/>
      <c r="AJ407" s="4355"/>
      <c r="AK407" s="4355"/>
      <c r="AL407" s="4355"/>
      <c r="AM407" s="4355"/>
      <c r="AN407" s="4355"/>
      <c r="AO407" s="4355"/>
      <c r="AP407" s="4355"/>
      <c r="AQ407" s="4355"/>
      <c r="AR407" s="4355"/>
      <c r="AS407" s="4355"/>
      <c r="AT407" s="4356"/>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2">
        <f t="shared" si="240"/>
        <v>0</v>
      </c>
      <c r="H408" s="4353">
        <f t="shared" si="241"/>
        <v>0</v>
      </c>
      <c r="I408" s="4354"/>
      <c r="J408" s="4354"/>
      <c r="K408" s="4354"/>
      <c r="L408" s="4354"/>
      <c r="M408" s="4354"/>
      <c r="N408" s="4354"/>
      <c r="O408" s="4354"/>
      <c r="P408" s="4354"/>
      <c r="Q408" s="4354"/>
      <c r="R408" s="4354"/>
      <c r="S408" s="4354"/>
      <c r="T408" s="4354"/>
      <c r="U408" s="4354"/>
      <c r="V408" s="4354"/>
      <c r="W408" s="4354"/>
      <c r="X408" s="4354"/>
      <c r="Y408" s="4354"/>
      <c r="Z408" s="4354"/>
      <c r="AA408" s="4354"/>
      <c r="AB408" s="4354"/>
      <c r="AC408" s="403">
        <f t="shared" si="242"/>
        <v>0</v>
      </c>
      <c r="AD408" s="4355"/>
      <c r="AE408" s="4355"/>
      <c r="AF408" s="4355"/>
      <c r="AG408" s="4355"/>
      <c r="AH408" s="4355"/>
      <c r="AI408" s="4355"/>
      <c r="AJ408" s="4355"/>
      <c r="AK408" s="4355"/>
      <c r="AL408" s="4355"/>
      <c r="AM408" s="4355"/>
      <c r="AN408" s="4355"/>
      <c r="AO408" s="4355"/>
      <c r="AP408" s="4355"/>
      <c r="AQ408" s="4355"/>
      <c r="AR408" s="4355"/>
      <c r="AS408" s="4355"/>
      <c r="AT408" s="4356"/>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2">
        <f t="shared" si="240"/>
        <v>0</v>
      </c>
      <c r="H409" s="4353">
        <f t="shared" si="241"/>
        <v>0</v>
      </c>
      <c r="I409" s="4354"/>
      <c r="J409" s="4354"/>
      <c r="K409" s="4354"/>
      <c r="L409" s="4354"/>
      <c r="M409" s="4354"/>
      <c r="N409" s="4354"/>
      <c r="O409" s="4354"/>
      <c r="P409" s="4354"/>
      <c r="Q409" s="4354"/>
      <c r="R409" s="4354"/>
      <c r="S409" s="4354"/>
      <c r="T409" s="4354"/>
      <c r="U409" s="4354"/>
      <c r="V409" s="4354"/>
      <c r="W409" s="4354"/>
      <c r="X409" s="4354"/>
      <c r="Y409" s="4354"/>
      <c r="Z409" s="4354"/>
      <c r="AA409" s="4354"/>
      <c r="AB409" s="4354"/>
      <c r="AC409" s="403">
        <f t="shared" si="242"/>
        <v>0</v>
      </c>
      <c r="AD409" s="4355"/>
      <c r="AE409" s="4355"/>
      <c r="AF409" s="4355"/>
      <c r="AG409" s="4355"/>
      <c r="AH409" s="4355"/>
      <c r="AI409" s="4355"/>
      <c r="AJ409" s="4355"/>
      <c r="AK409" s="4355"/>
      <c r="AL409" s="4355"/>
      <c r="AM409" s="4355"/>
      <c r="AN409" s="4355"/>
      <c r="AO409" s="4355"/>
      <c r="AP409" s="4355"/>
      <c r="AQ409" s="4355"/>
      <c r="AR409" s="4355"/>
      <c r="AS409" s="4355"/>
      <c r="AT409" s="4356"/>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2">
        <f t="shared" si="240"/>
        <v>0</v>
      </c>
      <c r="H410" s="4353">
        <f t="shared" si="241"/>
        <v>0</v>
      </c>
      <c r="I410" s="4354"/>
      <c r="J410" s="4354"/>
      <c r="K410" s="4354"/>
      <c r="L410" s="4354"/>
      <c r="M410" s="4354"/>
      <c r="N410" s="4354"/>
      <c r="O410" s="4354"/>
      <c r="P410" s="4354"/>
      <c r="Q410" s="4354"/>
      <c r="R410" s="4354"/>
      <c r="S410" s="4354"/>
      <c r="T410" s="4354"/>
      <c r="U410" s="4354"/>
      <c r="V410" s="4354"/>
      <c r="W410" s="4354"/>
      <c r="X410" s="4354"/>
      <c r="Y410" s="4354"/>
      <c r="Z410" s="4354"/>
      <c r="AA410" s="4354"/>
      <c r="AB410" s="4354"/>
      <c r="AC410" s="403">
        <f t="shared" si="242"/>
        <v>0</v>
      </c>
      <c r="AD410" s="4355"/>
      <c r="AE410" s="4355"/>
      <c r="AF410" s="4355"/>
      <c r="AG410" s="4355"/>
      <c r="AH410" s="4355"/>
      <c r="AI410" s="4355"/>
      <c r="AJ410" s="4355"/>
      <c r="AK410" s="4355"/>
      <c r="AL410" s="4355"/>
      <c r="AM410" s="4355"/>
      <c r="AN410" s="4355"/>
      <c r="AO410" s="4355"/>
      <c r="AP410" s="4355"/>
      <c r="AQ410" s="4355"/>
      <c r="AR410" s="4355"/>
      <c r="AS410" s="4355"/>
      <c r="AT410" s="4356"/>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2">
        <f t="shared" si="240"/>
        <v>0</v>
      </c>
      <c r="H411" s="4353">
        <f t="shared" si="241"/>
        <v>0</v>
      </c>
      <c r="I411" s="4354"/>
      <c r="J411" s="4354"/>
      <c r="K411" s="4354"/>
      <c r="L411" s="4354"/>
      <c r="M411" s="4354"/>
      <c r="N411" s="4354"/>
      <c r="O411" s="4354"/>
      <c r="P411" s="4354"/>
      <c r="Q411" s="4354"/>
      <c r="R411" s="4354"/>
      <c r="S411" s="4354"/>
      <c r="T411" s="4354"/>
      <c r="U411" s="4354"/>
      <c r="V411" s="4354"/>
      <c r="W411" s="4354"/>
      <c r="X411" s="4354"/>
      <c r="Y411" s="4354"/>
      <c r="Z411" s="4354"/>
      <c r="AA411" s="4354"/>
      <c r="AB411" s="4354"/>
      <c r="AC411" s="403">
        <f t="shared" si="242"/>
        <v>0</v>
      </c>
      <c r="AD411" s="4355"/>
      <c r="AE411" s="4355"/>
      <c r="AF411" s="4355"/>
      <c r="AG411" s="4355"/>
      <c r="AH411" s="4355"/>
      <c r="AI411" s="4355"/>
      <c r="AJ411" s="4355"/>
      <c r="AK411" s="4355"/>
      <c r="AL411" s="4355"/>
      <c r="AM411" s="4355"/>
      <c r="AN411" s="4355"/>
      <c r="AO411" s="4355"/>
      <c r="AP411" s="4355"/>
      <c r="AQ411" s="4355"/>
      <c r="AR411" s="4355"/>
      <c r="AS411" s="4355"/>
      <c r="AT411" s="4356"/>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2">
        <f t="shared" si="240"/>
        <v>0</v>
      </c>
      <c r="H412" s="4353">
        <f t="shared" si="241"/>
        <v>0</v>
      </c>
      <c r="I412" s="4354"/>
      <c r="J412" s="4354"/>
      <c r="K412" s="4354"/>
      <c r="L412" s="4354"/>
      <c r="M412" s="4354"/>
      <c r="N412" s="4354"/>
      <c r="O412" s="4354"/>
      <c r="P412" s="4354"/>
      <c r="Q412" s="4354"/>
      <c r="R412" s="4354"/>
      <c r="S412" s="4354"/>
      <c r="T412" s="4354"/>
      <c r="U412" s="4354"/>
      <c r="V412" s="4354"/>
      <c r="W412" s="4354"/>
      <c r="X412" s="4354"/>
      <c r="Y412" s="4354"/>
      <c r="Z412" s="4354"/>
      <c r="AA412" s="4354"/>
      <c r="AB412" s="4354"/>
      <c r="AC412" s="403">
        <f t="shared" si="242"/>
        <v>0</v>
      </c>
      <c r="AD412" s="4355"/>
      <c r="AE412" s="4355"/>
      <c r="AF412" s="4355"/>
      <c r="AG412" s="4355"/>
      <c r="AH412" s="4355"/>
      <c r="AI412" s="4355"/>
      <c r="AJ412" s="4355"/>
      <c r="AK412" s="4355"/>
      <c r="AL412" s="4355"/>
      <c r="AM412" s="4355"/>
      <c r="AN412" s="4355"/>
      <c r="AO412" s="4355"/>
      <c r="AP412" s="4355"/>
      <c r="AQ412" s="4355"/>
      <c r="AR412" s="4355"/>
      <c r="AS412" s="4355"/>
      <c r="AT412" s="4356"/>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2">
        <f t="shared" si="240"/>
        <v>0</v>
      </c>
      <c r="H413" s="4353">
        <f t="shared" si="241"/>
        <v>0</v>
      </c>
      <c r="I413" s="4354"/>
      <c r="J413" s="4354"/>
      <c r="K413" s="4354"/>
      <c r="L413" s="4354"/>
      <c r="M413" s="4354"/>
      <c r="N413" s="4354"/>
      <c r="O413" s="4354"/>
      <c r="P413" s="4354"/>
      <c r="Q413" s="4354"/>
      <c r="R413" s="4354"/>
      <c r="S413" s="4354"/>
      <c r="T413" s="4354"/>
      <c r="U413" s="4354"/>
      <c r="V413" s="4354"/>
      <c r="W413" s="4354"/>
      <c r="X413" s="4354"/>
      <c r="Y413" s="4354"/>
      <c r="Z413" s="4354"/>
      <c r="AA413" s="4354"/>
      <c r="AB413" s="4354"/>
      <c r="AC413" s="403">
        <f t="shared" si="242"/>
        <v>0</v>
      </c>
      <c r="AD413" s="4355"/>
      <c r="AE413" s="4355"/>
      <c r="AF413" s="4355"/>
      <c r="AG413" s="4355"/>
      <c r="AH413" s="4355"/>
      <c r="AI413" s="4355"/>
      <c r="AJ413" s="4355"/>
      <c r="AK413" s="4355"/>
      <c r="AL413" s="4355"/>
      <c r="AM413" s="4355"/>
      <c r="AN413" s="4355"/>
      <c r="AO413" s="4355"/>
      <c r="AP413" s="4355"/>
      <c r="AQ413" s="4355"/>
      <c r="AR413" s="4355"/>
      <c r="AS413" s="4355"/>
      <c r="AT413" s="4356"/>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2">
        <f t="shared" si="240"/>
        <v>0</v>
      </c>
      <c r="H414" s="4353">
        <f t="shared" si="241"/>
        <v>0</v>
      </c>
      <c r="I414" s="4354"/>
      <c r="J414" s="4354"/>
      <c r="K414" s="4354"/>
      <c r="L414" s="4354"/>
      <c r="M414" s="4354"/>
      <c r="N414" s="4354"/>
      <c r="O414" s="4354"/>
      <c r="P414" s="4354"/>
      <c r="Q414" s="4354"/>
      <c r="R414" s="4354"/>
      <c r="S414" s="4354"/>
      <c r="T414" s="4354"/>
      <c r="U414" s="4354"/>
      <c r="V414" s="4354"/>
      <c r="W414" s="4354"/>
      <c r="X414" s="4354"/>
      <c r="Y414" s="4354"/>
      <c r="Z414" s="4354"/>
      <c r="AA414" s="4354"/>
      <c r="AB414" s="4354"/>
      <c r="AC414" s="403">
        <f t="shared" si="242"/>
        <v>0</v>
      </c>
      <c r="AD414" s="4355"/>
      <c r="AE414" s="4355"/>
      <c r="AF414" s="4355"/>
      <c r="AG414" s="4355"/>
      <c r="AH414" s="4355"/>
      <c r="AI414" s="4355"/>
      <c r="AJ414" s="4355"/>
      <c r="AK414" s="4355"/>
      <c r="AL414" s="4355"/>
      <c r="AM414" s="4355"/>
      <c r="AN414" s="4355"/>
      <c r="AO414" s="4355"/>
      <c r="AP414" s="4355"/>
      <c r="AQ414" s="4355"/>
      <c r="AR414" s="4355"/>
      <c r="AS414" s="4355"/>
      <c r="AT414" s="4356"/>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2">
        <f t="shared" si="240"/>
        <v>0</v>
      </c>
      <c r="H415" s="4353">
        <f t="shared" si="241"/>
        <v>0</v>
      </c>
      <c r="I415" s="4354"/>
      <c r="J415" s="4354"/>
      <c r="K415" s="4354"/>
      <c r="L415" s="4354"/>
      <c r="M415" s="4354"/>
      <c r="N415" s="4354"/>
      <c r="O415" s="4354"/>
      <c r="P415" s="4354"/>
      <c r="Q415" s="4354"/>
      <c r="R415" s="4354"/>
      <c r="S415" s="4354"/>
      <c r="T415" s="4354"/>
      <c r="U415" s="4354"/>
      <c r="V415" s="4354"/>
      <c r="W415" s="4354"/>
      <c r="X415" s="4354"/>
      <c r="Y415" s="4354"/>
      <c r="Z415" s="4354"/>
      <c r="AA415" s="4354"/>
      <c r="AB415" s="4354"/>
      <c r="AC415" s="403">
        <f t="shared" si="242"/>
        <v>0</v>
      </c>
      <c r="AD415" s="4355"/>
      <c r="AE415" s="4355"/>
      <c r="AF415" s="4355"/>
      <c r="AG415" s="4355"/>
      <c r="AH415" s="4355"/>
      <c r="AI415" s="4355"/>
      <c r="AJ415" s="4355"/>
      <c r="AK415" s="4355"/>
      <c r="AL415" s="4355"/>
      <c r="AM415" s="4355"/>
      <c r="AN415" s="4355"/>
      <c r="AO415" s="4355"/>
      <c r="AP415" s="4355"/>
      <c r="AQ415" s="4355"/>
      <c r="AR415" s="4355"/>
      <c r="AS415" s="4355"/>
      <c r="AT415" s="4356"/>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2">
        <f t="shared" si="240"/>
        <v>0</v>
      </c>
      <c r="H416" s="4353">
        <f t="shared" si="241"/>
        <v>0</v>
      </c>
      <c r="I416" s="4354"/>
      <c r="J416" s="4354"/>
      <c r="K416" s="4354"/>
      <c r="L416" s="4354"/>
      <c r="M416" s="4354"/>
      <c r="N416" s="4354"/>
      <c r="O416" s="4354"/>
      <c r="P416" s="4354"/>
      <c r="Q416" s="4354"/>
      <c r="R416" s="4354"/>
      <c r="S416" s="4354"/>
      <c r="T416" s="4354"/>
      <c r="U416" s="4354"/>
      <c r="V416" s="4354"/>
      <c r="W416" s="4354"/>
      <c r="X416" s="4354"/>
      <c r="Y416" s="4354"/>
      <c r="Z416" s="4354"/>
      <c r="AA416" s="4354"/>
      <c r="AB416" s="4354"/>
      <c r="AC416" s="403">
        <f t="shared" si="242"/>
        <v>0</v>
      </c>
      <c r="AD416" s="4355"/>
      <c r="AE416" s="4355"/>
      <c r="AF416" s="4355"/>
      <c r="AG416" s="4355"/>
      <c r="AH416" s="4355"/>
      <c r="AI416" s="4355"/>
      <c r="AJ416" s="4355"/>
      <c r="AK416" s="4355"/>
      <c r="AL416" s="4355"/>
      <c r="AM416" s="4355"/>
      <c r="AN416" s="4355"/>
      <c r="AO416" s="4355"/>
      <c r="AP416" s="4355"/>
      <c r="AQ416" s="4355"/>
      <c r="AR416" s="4355"/>
      <c r="AS416" s="4355"/>
      <c r="AT416" s="4356"/>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2">
        <f t="shared" si="240"/>
        <v>0</v>
      </c>
      <c r="H417" s="4353">
        <f t="shared" si="241"/>
        <v>0</v>
      </c>
      <c r="I417" s="4354"/>
      <c r="J417" s="4354"/>
      <c r="K417" s="4354"/>
      <c r="L417" s="4354"/>
      <c r="M417" s="4354"/>
      <c r="N417" s="4354"/>
      <c r="O417" s="4354"/>
      <c r="P417" s="4354"/>
      <c r="Q417" s="4354"/>
      <c r="R417" s="4354"/>
      <c r="S417" s="4354"/>
      <c r="T417" s="4354"/>
      <c r="U417" s="4354"/>
      <c r="V417" s="4354"/>
      <c r="W417" s="4354"/>
      <c r="X417" s="4354"/>
      <c r="Y417" s="4354"/>
      <c r="Z417" s="4354"/>
      <c r="AA417" s="4354"/>
      <c r="AB417" s="4354"/>
      <c r="AC417" s="403">
        <f t="shared" si="242"/>
        <v>0</v>
      </c>
      <c r="AD417" s="4355"/>
      <c r="AE417" s="4355"/>
      <c r="AF417" s="4355"/>
      <c r="AG417" s="4355"/>
      <c r="AH417" s="4355"/>
      <c r="AI417" s="4355"/>
      <c r="AJ417" s="4355"/>
      <c r="AK417" s="4355"/>
      <c r="AL417" s="4355"/>
      <c r="AM417" s="4355"/>
      <c r="AN417" s="4355"/>
      <c r="AO417" s="4355"/>
      <c r="AP417" s="4355"/>
      <c r="AQ417" s="4355"/>
      <c r="AR417" s="4355"/>
      <c r="AS417" s="4355"/>
      <c r="AT417" s="4356"/>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2">
        <f t="shared" si="240"/>
        <v>0</v>
      </c>
      <c r="H418" s="4353">
        <f t="shared" si="241"/>
        <v>0</v>
      </c>
      <c r="I418" s="4354"/>
      <c r="J418" s="4354"/>
      <c r="K418" s="4354"/>
      <c r="L418" s="4354"/>
      <c r="M418" s="4354"/>
      <c r="N418" s="4354"/>
      <c r="O418" s="4354"/>
      <c r="P418" s="4354"/>
      <c r="Q418" s="4354"/>
      <c r="R418" s="4354"/>
      <c r="S418" s="4354"/>
      <c r="T418" s="4354"/>
      <c r="U418" s="4354"/>
      <c r="V418" s="4354"/>
      <c r="W418" s="4354"/>
      <c r="X418" s="4354"/>
      <c r="Y418" s="4354"/>
      <c r="Z418" s="4354"/>
      <c r="AA418" s="4354"/>
      <c r="AB418" s="4354"/>
      <c r="AC418" s="403">
        <f t="shared" si="242"/>
        <v>0</v>
      </c>
      <c r="AD418" s="4355"/>
      <c r="AE418" s="4355"/>
      <c r="AF418" s="4355"/>
      <c r="AG418" s="4355"/>
      <c r="AH418" s="4355"/>
      <c r="AI418" s="4355"/>
      <c r="AJ418" s="4355"/>
      <c r="AK418" s="4355"/>
      <c r="AL418" s="4355"/>
      <c r="AM418" s="4355"/>
      <c r="AN418" s="4355"/>
      <c r="AO418" s="4355"/>
      <c r="AP418" s="4355"/>
      <c r="AQ418" s="4355"/>
      <c r="AR418" s="4355"/>
      <c r="AS418" s="4355"/>
      <c r="AT418" s="4356"/>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2">
        <f t="shared" si="240"/>
        <v>0</v>
      </c>
      <c r="H419" s="4353">
        <f t="shared" si="241"/>
        <v>0</v>
      </c>
      <c r="I419" s="4354"/>
      <c r="J419" s="4354"/>
      <c r="K419" s="4354"/>
      <c r="L419" s="4354"/>
      <c r="M419" s="4354"/>
      <c r="N419" s="4354"/>
      <c r="O419" s="4354"/>
      <c r="P419" s="4354"/>
      <c r="Q419" s="4354"/>
      <c r="R419" s="4354"/>
      <c r="S419" s="4354"/>
      <c r="T419" s="4354"/>
      <c r="U419" s="4354"/>
      <c r="V419" s="4354"/>
      <c r="W419" s="4354"/>
      <c r="X419" s="4354"/>
      <c r="Y419" s="4354"/>
      <c r="Z419" s="4354"/>
      <c r="AA419" s="4354"/>
      <c r="AB419" s="4354"/>
      <c r="AC419" s="403">
        <f t="shared" si="242"/>
        <v>0</v>
      </c>
      <c r="AD419" s="4355"/>
      <c r="AE419" s="4355"/>
      <c r="AF419" s="4355"/>
      <c r="AG419" s="4355"/>
      <c r="AH419" s="4355"/>
      <c r="AI419" s="4355"/>
      <c r="AJ419" s="4355"/>
      <c r="AK419" s="4355"/>
      <c r="AL419" s="4355"/>
      <c r="AM419" s="4355"/>
      <c r="AN419" s="4355"/>
      <c r="AO419" s="4355"/>
      <c r="AP419" s="4355"/>
      <c r="AQ419" s="4355"/>
      <c r="AR419" s="4355"/>
      <c r="AS419" s="4355"/>
      <c r="AT419" s="4356"/>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2">
        <f t="shared" si="240"/>
        <v>0</v>
      </c>
      <c r="H420" s="4353">
        <f t="shared" si="241"/>
        <v>0</v>
      </c>
      <c r="I420" s="4354"/>
      <c r="J420" s="4354"/>
      <c r="K420" s="4354"/>
      <c r="L420" s="4354"/>
      <c r="M420" s="4354"/>
      <c r="N420" s="4354"/>
      <c r="O420" s="4354"/>
      <c r="P420" s="4354"/>
      <c r="Q420" s="4354"/>
      <c r="R420" s="4354"/>
      <c r="S420" s="4354"/>
      <c r="T420" s="4354"/>
      <c r="U420" s="4354"/>
      <c r="V420" s="4354"/>
      <c r="W420" s="4354"/>
      <c r="X420" s="4354"/>
      <c r="Y420" s="4354"/>
      <c r="Z420" s="4354"/>
      <c r="AA420" s="4354"/>
      <c r="AB420" s="4354"/>
      <c r="AC420" s="403">
        <f t="shared" si="242"/>
        <v>0</v>
      </c>
      <c r="AD420" s="4355"/>
      <c r="AE420" s="4355"/>
      <c r="AF420" s="4355"/>
      <c r="AG420" s="4355"/>
      <c r="AH420" s="4355"/>
      <c r="AI420" s="4355"/>
      <c r="AJ420" s="4355"/>
      <c r="AK420" s="4355"/>
      <c r="AL420" s="4355"/>
      <c r="AM420" s="4355"/>
      <c r="AN420" s="4355"/>
      <c r="AO420" s="4355"/>
      <c r="AP420" s="4355"/>
      <c r="AQ420" s="4355"/>
      <c r="AR420" s="4355"/>
      <c r="AS420" s="4355"/>
      <c r="AT420" s="4356"/>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2">
        <f t="shared" si="240"/>
        <v>0</v>
      </c>
      <c r="H421" s="4353">
        <f t="shared" si="241"/>
        <v>0</v>
      </c>
      <c r="I421" s="4354"/>
      <c r="J421" s="4354"/>
      <c r="K421" s="4354"/>
      <c r="L421" s="4354"/>
      <c r="M421" s="4354"/>
      <c r="N421" s="4354"/>
      <c r="O421" s="4354"/>
      <c r="P421" s="4354"/>
      <c r="Q421" s="4354"/>
      <c r="R421" s="4354"/>
      <c r="S421" s="4354"/>
      <c r="T421" s="4354"/>
      <c r="U421" s="4354"/>
      <c r="V421" s="4354"/>
      <c r="W421" s="4354"/>
      <c r="X421" s="4354"/>
      <c r="Y421" s="4354"/>
      <c r="Z421" s="4354"/>
      <c r="AA421" s="4354"/>
      <c r="AB421" s="4354"/>
      <c r="AC421" s="403">
        <f t="shared" si="242"/>
        <v>0</v>
      </c>
      <c r="AD421" s="4355"/>
      <c r="AE421" s="4355"/>
      <c r="AF421" s="4355"/>
      <c r="AG421" s="4355"/>
      <c r="AH421" s="4355"/>
      <c r="AI421" s="4355"/>
      <c r="AJ421" s="4355"/>
      <c r="AK421" s="4355"/>
      <c r="AL421" s="4355"/>
      <c r="AM421" s="4355"/>
      <c r="AN421" s="4355"/>
      <c r="AO421" s="4355"/>
      <c r="AP421" s="4355"/>
      <c r="AQ421" s="4355"/>
      <c r="AR421" s="4355"/>
      <c r="AS421" s="4355"/>
      <c r="AT421" s="4356"/>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2">
        <f t="shared" si="240"/>
        <v>0</v>
      </c>
      <c r="H422" s="4353">
        <f t="shared" si="241"/>
        <v>0</v>
      </c>
      <c r="I422" s="4354"/>
      <c r="J422" s="4354"/>
      <c r="K422" s="4354"/>
      <c r="L422" s="4354"/>
      <c r="M422" s="4354"/>
      <c r="N422" s="4354"/>
      <c r="O422" s="4354"/>
      <c r="P422" s="4354"/>
      <c r="Q422" s="4354"/>
      <c r="R422" s="4354"/>
      <c r="S422" s="4354"/>
      <c r="T422" s="4354"/>
      <c r="U422" s="4354"/>
      <c r="V422" s="4354"/>
      <c r="W422" s="4354"/>
      <c r="X422" s="4354"/>
      <c r="Y422" s="4354"/>
      <c r="Z422" s="4354"/>
      <c r="AA422" s="4354"/>
      <c r="AB422" s="4354"/>
      <c r="AC422" s="403">
        <f t="shared" si="242"/>
        <v>0</v>
      </c>
      <c r="AD422" s="4355"/>
      <c r="AE422" s="4355"/>
      <c r="AF422" s="4355"/>
      <c r="AG422" s="4355"/>
      <c r="AH422" s="4355"/>
      <c r="AI422" s="4355"/>
      <c r="AJ422" s="4355"/>
      <c r="AK422" s="4355"/>
      <c r="AL422" s="4355"/>
      <c r="AM422" s="4355"/>
      <c r="AN422" s="4355"/>
      <c r="AO422" s="4355"/>
      <c r="AP422" s="4355"/>
      <c r="AQ422" s="4355"/>
      <c r="AR422" s="4355"/>
      <c r="AS422" s="4355"/>
      <c r="AT422" s="4356"/>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2">
        <f t="shared" si="240"/>
        <v>0</v>
      </c>
      <c r="H423" s="4353">
        <f t="shared" si="241"/>
        <v>0</v>
      </c>
      <c r="I423" s="4354"/>
      <c r="J423" s="4354"/>
      <c r="K423" s="4354"/>
      <c r="L423" s="4354"/>
      <c r="M423" s="4354"/>
      <c r="N423" s="4354"/>
      <c r="O423" s="4354"/>
      <c r="P423" s="4354"/>
      <c r="Q423" s="4354"/>
      <c r="R423" s="4354"/>
      <c r="S423" s="4354"/>
      <c r="T423" s="4354"/>
      <c r="U423" s="4354"/>
      <c r="V423" s="4354"/>
      <c r="W423" s="4354"/>
      <c r="X423" s="4354"/>
      <c r="Y423" s="4354"/>
      <c r="Z423" s="4354"/>
      <c r="AA423" s="4354"/>
      <c r="AB423" s="4354"/>
      <c r="AC423" s="403">
        <f t="shared" si="242"/>
        <v>0</v>
      </c>
      <c r="AD423" s="4355"/>
      <c r="AE423" s="4355"/>
      <c r="AF423" s="4355"/>
      <c r="AG423" s="4355"/>
      <c r="AH423" s="4355"/>
      <c r="AI423" s="4355"/>
      <c r="AJ423" s="4355"/>
      <c r="AK423" s="4355"/>
      <c r="AL423" s="4355"/>
      <c r="AM423" s="4355"/>
      <c r="AN423" s="4355"/>
      <c r="AO423" s="4355"/>
      <c r="AP423" s="4355"/>
      <c r="AQ423" s="4355"/>
      <c r="AR423" s="4355"/>
      <c r="AS423" s="4355"/>
      <c r="AT423" s="4356"/>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2">
        <f t="shared" si="240"/>
        <v>0</v>
      </c>
      <c r="H424" s="4353">
        <f t="shared" si="241"/>
        <v>0</v>
      </c>
      <c r="I424" s="4354"/>
      <c r="J424" s="4354"/>
      <c r="K424" s="4354"/>
      <c r="L424" s="4354"/>
      <c r="M424" s="4354"/>
      <c r="N424" s="4354"/>
      <c r="O424" s="4354"/>
      <c r="P424" s="4354"/>
      <c r="Q424" s="4354"/>
      <c r="R424" s="4354"/>
      <c r="S424" s="4354"/>
      <c r="T424" s="4354"/>
      <c r="U424" s="4354"/>
      <c r="V424" s="4354"/>
      <c r="W424" s="4354"/>
      <c r="X424" s="4354"/>
      <c r="Y424" s="4354"/>
      <c r="Z424" s="4354"/>
      <c r="AA424" s="4354"/>
      <c r="AB424" s="4354"/>
      <c r="AC424" s="403">
        <f t="shared" si="242"/>
        <v>0</v>
      </c>
      <c r="AD424" s="4355"/>
      <c r="AE424" s="4355"/>
      <c r="AF424" s="4355"/>
      <c r="AG424" s="4355"/>
      <c r="AH424" s="4355"/>
      <c r="AI424" s="4355"/>
      <c r="AJ424" s="4355"/>
      <c r="AK424" s="4355"/>
      <c r="AL424" s="4355"/>
      <c r="AM424" s="4355"/>
      <c r="AN424" s="4355"/>
      <c r="AO424" s="4355"/>
      <c r="AP424" s="4355"/>
      <c r="AQ424" s="4355"/>
      <c r="AR424" s="4355"/>
      <c r="AS424" s="4355"/>
      <c r="AT424" s="4356"/>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2">
        <f t="shared" si="240"/>
        <v>0</v>
      </c>
      <c r="H425" s="4353">
        <f t="shared" si="241"/>
        <v>0</v>
      </c>
      <c r="I425" s="4354"/>
      <c r="J425" s="4354"/>
      <c r="K425" s="4354"/>
      <c r="L425" s="4354"/>
      <c r="M425" s="4354"/>
      <c r="N425" s="4354"/>
      <c r="O425" s="4354"/>
      <c r="P425" s="4354"/>
      <c r="Q425" s="4354"/>
      <c r="R425" s="4354"/>
      <c r="S425" s="4354"/>
      <c r="T425" s="4354"/>
      <c r="U425" s="4354"/>
      <c r="V425" s="4354"/>
      <c r="W425" s="4354"/>
      <c r="X425" s="4354"/>
      <c r="Y425" s="4354"/>
      <c r="Z425" s="4354"/>
      <c r="AA425" s="4354"/>
      <c r="AB425" s="4354"/>
      <c r="AC425" s="403">
        <f t="shared" si="242"/>
        <v>0</v>
      </c>
      <c r="AD425" s="4355"/>
      <c r="AE425" s="4355"/>
      <c r="AF425" s="4355"/>
      <c r="AG425" s="4355"/>
      <c r="AH425" s="4355"/>
      <c r="AI425" s="4355"/>
      <c r="AJ425" s="4355"/>
      <c r="AK425" s="4355"/>
      <c r="AL425" s="4355"/>
      <c r="AM425" s="4355"/>
      <c r="AN425" s="4355"/>
      <c r="AO425" s="4355"/>
      <c r="AP425" s="4355"/>
      <c r="AQ425" s="4355"/>
      <c r="AR425" s="4355"/>
      <c r="AS425" s="4355"/>
      <c r="AT425" s="4356"/>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2">
        <f t="shared" si="240"/>
        <v>0</v>
      </c>
      <c r="H426" s="4353">
        <f t="shared" si="241"/>
        <v>0</v>
      </c>
      <c r="I426" s="4354"/>
      <c r="J426" s="4354"/>
      <c r="K426" s="4354"/>
      <c r="L426" s="4354"/>
      <c r="M426" s="4354"/>
      <c r="N426" s="4354"/>
      <c r="O426" s="4354"/>
      <c r="P426" s="4354"/>
      <c r="Q426" s="4354"/>
      <c r="R426" s="4354"/>
      <c r="S426" s="4354"/>
      <c r="T426" s="4354"/>
      <c r="U426" s="4354"/>
      <c r="V426" s="4354"/>
      <c r="W426" s="4354"/>
      <c r="X426" s="4354"/>
      <c r="Y426" s="4354"/>
      <c r="Z426" s="4354"/>
      <c r="AA426" s="4354"/>
      <c r="AB426" s="4354"/>
      <c r="AC426" s="403">
        <f t="shared" si="242"/>
        <v>0</v>
      </c>
      <c r="AD426" s="4355"/>
      <c r="AE426" s="4355"/>
      <c r="AF426" s="4355"/>
      <c r="AG426" s="4355"/>
      <c r="AH426" s="4355"/>
      <c r="AI426" s="4355"/>
      <c r="AJ426" s="4355"/>
      <c r="AK426" s="4355"/>
      <c r="AL426" s="4355"/>
      <c r="AM426" s="4355"/>
      <c r="AN426" s="4355"/>
      <c r="AO426" s="4355"/>
      <c r="AP426" s="4355"/>
      <c r="AQ426" s="4355"/>
      <c r="AR426" s="4355"/>
      <c r="AS426" s="4355"/>
      <c r="AT426" s="4356"/>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2">
        <f t="shared" si="240"/>
        <v>0</v>
      </c>
      <c r="H427" s="4353">
        <f t="shared" si="241"/>
        <v>0</v>
      </c>
      <c r="I427" s="4354"/>
      <c r="J427" s="4354"/>
      <c r="K427" s="4354"/>
      <c r="L427" s="4354"/>
      <c r="M427" s="4354"/>
      <c r="N427" s="4354"/>
      <c r="O427" s="4354"/>
      <c r="P427" s="4354"/>
      <c r="Q427" s="4354"/>
      <c r="R427" s="4354"/>
      <c r="S427" s="4354"/>
      <c r="T427" s="4354"/>
      <c r="U427" s="4354"/>
      <c r="V427" s="4354"/>
      <c r="W427" s="4354"/>
      <c r="X427" s="4354"/>
      <c r="Y427" s="4354"/>
      <c r="Z427" s="4354"/>
      <c r="AA427" s="4354"/>
      <c r="AB427" s="4354"/>
      <c r="AC427" s="403">
        <f t="shared" si="242"/>
        <v>0</v>
      </c>
      <c r="AD427" s="4355"/>
      <c r="AE427" s="4355"/>
      <c r="AF427" s="4355"/>
      <c r="AG427" s="4355"/>
      <c r="AH427" s="4355"/>
      <c r="AI427" s="4355"/>
      <c r="AJ427" s="4355"/>
      <c r="AK427" s="4355"/>
      <c r="AL427" s="4355"/>
      <c r="AM427" s="4355"/>
      <c r="AN427" s="4355"/>
      <c r="AO427" s="4355"/>
      <c r="AP427" s="4355"/>
      <c r="AQ427" s="4355"/>
      <c r="AR427" s="4355"/>
      <c r="AS427" s="4355"/>
      <c r="AT427" s="4356"/>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2">
        <f t="shared" si="240"/>
        <v>0</v>
      </c>
      <c r="H428" s="4353">
        <f t="shared" si="241"/>
        <v>0</v>
      </c>
      <c r="I428" s="4354"/>
      <c r="J428" s="4354"/>
      <c r="K428" s="4354"/>
      <c r="L428" s="4354"/>
      <c r="M428" s="4354"/>
      <c r="N428" s="4354"/>
      <c r="O428" s="4354"/>
      <c r="P428" s="4354"/>
      <c r="Q428" s="4354"/>
      <c r="R428" s="4354"/>
      <c r="S428" s="4354"/>
      <c r="T428" s="4354"/>
      <c r="U428" s="4354"/>
      <c r="V428" s="4354"/>
      <c r="W428" s="4354"/>
      <c r="X428" s="4354"/>
      <c r="Y428" s="4354"/>
      <c r="Z428" s="4354"/>
      <c r="AA428" s="4354"/>
      <c r="AB428" s="4354"/>
      <c r="AC428" s="403">
        <f t="shared" si="242"/>
        <v>0</v>
      </c>
      <c r="AD428" s="4355"/>
      <c r="AE428" s="4355"/>
      <c r="AF428" s="4355"/>
      <c r="AG428" s="4355"/>
      <c r="AH428" s="4355"/>
      <c r="AI428" s="4355"/>
      <c r="AJ428" s="4355"/>
      <c r="AK428" s="4355"/>
      <c r="AL428" s="4355"/>
      <c r="AM428" s="4355"/>
      <c r="AN428" s="4355"/>
      <c r="AO428" s="4355"/>
      <c r="AP428" s="4355"/>
      <c r="AQ428" s="4355"/>
      <c r="AR428" s="4355"/>
      <c r="AS428" s="4355"/>
      <c r="AT428" s="4356"/>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2">
        <f t="shared" si="240"/>
        <v>0</v>
      </c>
      <c r="H429" s="4353">
        <f t="shared" si="241"/>
        <v>0</v>
      </c>
      <c r="I429" s="4354"/>
      <c r="J429" s="4354"/>
      <c r="K429" s="4354"/>
      <c r="L429" s="4354"/>
      <c r="M429" s="4354"/>
      <c r="N429" s="4354"/>
      <c r="O429" s="4354"/>
      <c r="P429" s="4354"/>
      <c r="Q429" s="4354"/>
      <c r="R429" s="4354"/>
      <c r="S429" s="4354"/>
      <c r="T429" s="4354"/>
      <c r="U429" s="4354"/>
      <c r="V429" s="4354"/>
      <c r="W429" s="4354"/>
      <c r="X429" s="4354"/>
      <c r="Y429" s="4354"/>
      <c r="Z429" s="4354"/>
      <c r="AA429" s="4354"/>
      <c r="AB429" s="4354"/>
      <c r="AC429" s="403">
        <f t="shared" si="242"/>
        <v>0</v>
      </c>
      <c r="AD429" s="4355"/>
      <c r="AE429" s="4355"/>
      <c r="AF429" s="4355"/>
      <c r="AG429" s="4355"/>
      <c r="AH429" s="4355"/>
      <c r="AI429" s="4355"/>
      <c r="AJ429" s="4355"/>
      <c r="AK429" s="4355"/>
      <c r="AL429" s="4355"/>
      <c r="AM429" s="4355"/>
      <c r="AN429" s="4355"/>
      <c r="AO429" s="4355"/>
      <c r="AP429" s="4355"/>
      <c r="AQ429" s="4355"/>
      <c r="AR429" s="4355"/>
      <c r="AS429" s="4355"/>
      <c r="AT429" s="4356"/>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2">
        <f t="shared" si="240"/>
        <v>0</v>
      </c>
      <c r="H430" s="4353">
        <f t="shared" si="241"/>
        <v>0</v>
      </c>
      <c r="I430" s="4354"/>
      <c r="J430" s="4354"/>
      <c r="K430" s="4354"/>
      <c r="L430" s="4354"/>
      <c r="M430" s="4354"/>
      <c r="N430" s="4354"/>
      <c r="O430" s="4354"/>
      <c r="P430" s="4354"/>
      <c r="Q430" s="4354"/>
      <c r="R430" s="4354"/>
      <c r="S430" s="4354"/>
      <c r="T430" s="4354"/>
      <c r="U430" s="4354"/>
      <c r="V430" s="4354"/>
      <c r="W430" s="4354"/>
      <c r="X430" s="4354"/>
      <c r="Y430" s="4354"/>
      <c r="Z430" s="4354"/>
      <c r="AA430" s="4354"/>
      <c r="AB430" s="4354"/>
      <c r="AC430" s="403">
        <f t="shared" si="242"/>
        <v>0</v>
      </c>
      <c r="AD430" s="4355"/>
      <c r="AE430" s="4355"/>
      <c r="AF430" s="4355"/>
      <c r="AG430" s="4355"/>
      <c r="AH430" s="4355"/>
      <c r="AI430" s="4355"/>
      <c r="AJ430" s="4355"/>
      <c r="AK430" s="4355"/>
      <c r="AL430" s="4355"/>
      <c r="AM430" s="4355"/>
      <c r="AN430" s="4355"/>
      <c r="AO430" s="4355"/>
      <c r="AP430" s="4355"/>
      <c r="AQ430" s="4355"/>
      <c r="AR430" s="4355"/>
      <c r="AS430" s="4355"/>
      <c r="AT430" s="4356"/>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2">
        <f t="shared" si="240"/>
        <v>0</v>
      </c>
      <c r="H431" s="4353">
        <f t="shared" si="241"/>
        <v>0</v>
      </c>
      <c r="I431" s="4354"/>
      <c r="J431" s="4354"/>
      <c r="K431" s="4354"/>
      <c r="L431" s="4354"/>
      <c r="M431" s="4354"/>
      <c r="N431" s="4354"/>
      <c r="O431" s="4354"/>
      <c r="P431" s="4354"/>
      <c r="Q431" s="4354"/>
      <c r="R431" s="4354"/>
      <c r="S431" s="4354"/>
      <c r="T431" s="4354"/>
      <c r="U431" s="4354"/>
      <c r="V431" s="4354"/>
      <c r="W431" s="4354"/>
      <c r="X431" s="4354"/>
      <c r="Y431" s="4354"/>
      <c r="Z431" s="4354"/>
      <c r="AA431" s="4354"/>
      <c r="AB431" s="4354"/>
      <c r="AC431" s="403">
        <f t="shared" si="242"/>
        <v>0</v>
      </c>
      <c r="AD431" s="4355"/>
      <c r="AE431" s="4355"/>
      <c r="AF431" s="4355"/>
      <c r="AG431" s="4355"/>
      <c r="AH431" s="4355"/>
      <c r="AI431" s="4355"/>
      <c r="AJ431" s="4355"/>
      <c r="AK431" s="4355"/>
      <c r="AL431" s="4355"/>
      <c r="AM431" s="4355"/>
      <c r="AN431" s="4355"/>
      <c r="AO431" s="4355"/>
      <c r="AP431" s="4355"/>
      <c r="AQ431" s="4355"/>
      <c r="AR431" s="4355"/>
      <c r="AS431" s="4355"/>
      <c r="AT431" s="4356"/>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2">
        <f t="shared" si="240"/>
        <v>0</v>
      </c>
      <c r="H432" s="4353">
        <f t="shared" si="241"/>
        <v>0</v>
      </c>
      <c r="I432" s="4354"/>
      <c r="J432" s="4354"/>
      <c r="K432" s="4354"/>
      <c r="L432" s="4354"/>
      <c r="M432" s="4354"/>
      <c r="N432" s="4354"/>
      <c r="O432" s="4354"/>
      <c r="P432" s="4354"/>
      <c r="Q432" s="4354"/>
      <c r="R432" s="4354"/>
      <c r="S432" s="4354"/>
      <c r="T432" s="4354"/>
      <c r="U432" s="4354"/>
      <c r="V432" s="4354"/>
      <c r="W432" s="4354"/>
      <c r="X432" s="4354"/>
      <c r="Y432" s="4354"/>
      <c r="Z432" s="4354"/>
      <c r="AA432" s="4354"/>
      <c r="AB432" s="4354"/>
      <c r="AC432" s="403">
        <f t="shared" si="242"/>
        <v>0</v>
      </c>
      <c r="AD432" s="4355"/>
      <c r="AE432" s="4355"/>
      <c r="AF432" s="4355"/>
      <c r="AG432" s="4355"/>
      <c r="AH432" s="4355"/>
      <c r="AI432" s="4355"/>
      <c r="AJ432" s="4355"/>
      <c r="AK432" s="4355"/>
      <c r="AL432" s="4355"/>
      <c r="AM432" s="4355"/>
      <c r="AN432" s="4355"/>
      <c r="AO432" s="4355"/>
      <c r="AP432" s="4355"/>
      <c r="AQ432" s="4355"/>
      <c r="AR432" s="4355"/>
      <c r="AS432" s="4355"/>
      <c r="AT432" s="4356"/>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2">
        <f t="shared" si="240"/>
        <v>0</v>
      </c>
      <c r="H433" s="4353">
        <f t="shared" si="241"/>
        <v>0</v>
      </c>
      <c r="I433" s="4354"/>
      <c r="J433" s="4354"/>
      <c r="K433" s="4354"/>
      <c r="L433" s="4354"/>
      <c r="M433" s="4354"/>
      <c r="N433" s="4354"/>
      <c r="O433" s="4354"/>
      <c r="P433" s="4354"/>
      <c r="Q433" s="4354"/>
      <c r="R433" s="4354"/>
      <c r="S433" s="4354"/>
      <c r="T433" s="4354"/>
      <c r="U433" s="4354"/>
      <c r="V433" s="4354"/>
      <c r="W433" s="4354"/>
      <c r="X433" s="4354"/>
      <c r="Y433" s="4354"/>
      <c r="Z433" s="4354"/>
      <c r="AA433" s="4354"/>
      <c r="AB433" s="4354"/>
      <c r="AC433" s="403">
        <f t="shared" si="242"/>
        <v>0</v>
      </c>
      <c r="AD433" s="4355"/>
      <c r="AE433" s="4355"/>
      <c r="AF433" s="4355"/>
      <c r="AG433" s="4355"/>
      <c r="AH433" s="4355"/>
      <c r="AI433" s="4355"/>
      <c r="AJ433" s="4355"/>
      <c r="AK433" s="4355"/>
      <c r="AL433" s="4355"/>
      <c r="AM433" s="4355"/>
      <c r="AN433" s="4355"/>
      <c r="AO433" s="4355"/>
      <c r="AP433" s="4355"/>
      <c r="AQ433" s="4355"/>
      <c r="AR433" s="4355"/>
      <c r="AS433" s="4355"/>
      <c r="AT433" s="4356"/>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2">
        <f t="shared" si="240"/>
        <v>0</v>
      </c>
      <c r="H434" s="4353">
        <f t="shared" si="241"/>
        <v>0</v>
      </c>
      <c r="I434" s="4354"/>
      <c r="J434" s="4354"/>
      <c r="K434" s="4354"/>
      <c r="L434" s="4354"/>
      <c r="M434" s="4354"/>
      <c r="N434" s="4354"/>
      <c r="O434" s="4354"/>
      <c r="P434" s="4354"/>
      <c r="Q434" s="4354"/>
      <c r="R434" s="4354"/>
      <c r="S434" s="4354"/>
      <c r="T434" s="4354"/>
      <c r="U434" s="4354"/>
      <c r="V434" s="4354"/>
      <c r="W434" s="4354"/>
      <c r="X434" s="4354"/>
      <c r="Y434" s="4354"/>
      <c r="Z434" s="4354"/>
      <c r="AA434" s="4354"/>
      <c r="AB434" s="4354"/>
      <c r="AC434" s="403">
        <f t="shared" si="242"/>
        <v>0</v>
      </c>
      <c r="AD434" s="4355"/>
      <c r="AE434" s="4355"/>
      <c r="AF434" s="4355"/>
      <c r="AG434" s="4355"/>
      <c r="AH434" s="4355"/>
      <c r="AI434" s="4355"/>
      <c r="AJ434" s="4355"/>
      <c r="AK434" s="4355"/>
      <c r="AL434" s="4355"/>
      <c r="AM434" s="4355"/>
      <c r="AN434" s="4355"/>
      <c r="AO434" s="4355"/>
      <c r="AP434" s="4355"/>
      <c r="AQ434" s="4355"/>
      <c r="AR434" s="4355"/>
      <c r="AS434" s="4355"/>
      <c r="AT434" s="4356"/>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2">
        <f t="shared" si="240"/>
        <v>0</v>
      </c>
      <c r="H435" s="4353">
        <f t="shared" si="241"/>
        <v>0</v>
      </c>
      <c r="I435" s="4354"/>
      <c r="J435" s="4354"/>
      <c r="K435" s="4354"/>
      <c r="L435" s="4354"/>
      <c r="M435" s="4354"/>
      <c r="N435" s="4354"/>
      <c r="O435" s="4354"/>
      <c r="P435" s="4354"/>
      <c r="Q435" s="4354"/>
      <c r="R435" s="4354"/>
      <c r="S435" s="4354"/>
      <c r="T435" s="4354"/>
      <c r="U435" s="4354"/>
      <c r="V435" s="4354"/>
      <c r="W435" s="4354"/>
      <c r="X435" s="4354"/>
      <c r="Y435" s="4354"/>
      <c r="Z435" s="4354"/>
      <c r="AA435" s="4354"/>
      <c r="AB435" s="4354"/>
      <c r="AC435" s="403">
        <f t="shared" si="242"/>
        <v>0</v>
      </c>
      <c r="AD435" s="4355"/>
      <c r="AE435" s="4355"/>
      <c r="AF435" s="4355"/>
      <c r="AG435" s="4355"/>
      <c r="AH435" s="4355"/>
      <c r="AI435" s="4355"/>
      <c r="AJ435" s="4355"/>
      <c r="AK435" s="4355"/>
      <c r="AL435" s="4355"/>
      <c r="AM435" s="4355"/>
      <c r="AN435" s="4355"/>
      <c r="AO435" s="4355"/>
      <c r="AP435" s="4355"/>
      <c r="AQ435" s="4355"/>
      <c r="AR435" s="4355"/>
      <c r="AS435" s="4355"/>
      <c r="AT435" s="4356"/>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2">
        <f t="shared" si="240"/>
        <v>0</v>
      </c>
      <c r="H436" s="4353">
        <f t="shared" si="241"/>
        <v>0</v>
      </c>
      <c r="I436" s="4354"/>
      <c r="J436" s="4354"/>
      <c r="K436" s="4354"/>
      <c r="L436" s="4354"/>
      <c r="M436" s="4354"/>
      <c r="N436" s="4354"/>
      <c r="O436" s="4354"/>
      <c r="P436" s="4354"/>
      <c r="Q436" s="4354"/>
      <c r="R436" s="4354"/>
      <c r="S436" s="4354"/>
      <c r="T436" s="4354"/>
      <c r="U436" s="4354"/>
      <c r="V436" s="4354"/>
      <c r="W436" s="4354"/>
      <c r="X436" s="4354"/>
      <c r="Y436" s="4354"/>
      <c r="Z436" s="4354"/>
      <c r="AA436" s="4354"/>
      <c r="AB436" s="4354"/>
      <c r="AC436" s="403">
        <f t="shared" si="242"/>
        <v>0</v>
      </c>
      <c r="AD436" s="4355"/>
      <c r="AE436" s="4355"/>
      <c r="AF436" s="4355"/>
      <c r="AG436" s="4355"/>
      <c r="AH436" s="4355"/>
      <c r="AI436" s="4355"/>
      <c r="AJ436" s="4355"/>
      <c r="AK436" s="4355"/>
      <c r="AL436" s="4355"/>
      <c r="AM436" s="4355"/>
      <c r="AN436" s="4355"/>
      <c r="AO436" s="4355"/>
      <c r="AP436" s="4355"/>
      <c r="AQ436" s="4355"/>
      <c r="AR436" s="4355"/>
      <c r="AS436" s="4355"/>
      <c r="AT436" s="4356"/>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2">
        <f t="shared" si="240"/>
        <v>0</v>
      </c>
      <c r="H437" s="4353">
        <f t="shared" si="241"/>
        <v>0</v>
      </c>
      <c r="I437" s="4354"/>
      <c r="J437" s="4354"/>
      <c r="K437" s="4354"/>
      <c r="L437" s="4354"/>
      <c r="M437" s="4354"/>
      <c r="N437" s="4354"/>
      <c r="O437" s="4354"/>
      <c r="P437" s="4354"/>
      <c r="Q437" s="4354"/>
      <c r="R437" s="4354"/>
      <c r="S437" s="4354"/>
      <c r="T437" s="4354"/>
      <c r="U437" s="4354"/>
      <c r="V437" s="4354"/>
      <c r="W437" s="4354"/>
      <c r="X437" s="4354"/>
      <c r="Y437" s="4354"/>
      <c r="Z437" s="4354"/>
      <c r="AA437" s="4354"/>
      <c r="AB437" s="4354"/>
      <c r="AC437" s="403">
        <f t="shared" si="242"/>
        <v>0</v>
      </c>
      <c r="AD437" s="4355"/>
      <c r="AE437" s="4355"/>
      <c r="AF437" s="4355"/>
      <c r="AG437" s="4355"/>
      <c r="AH437" s="4355"/>
      <c r="AI437" s="4355"/>
      <c r="AJ437" s="4355"/>
      <c r="AK437" s="4355"/>
      <c r="AL437" s="4355"/>
      <c r="AM437" s="4355"/>
      <c r="AN437" s="4355"/>
      <c r="AO437" s="4355"/>
      <c r="AP437" s="4355"/>
      <c r="AQ437" s="4355"/>
      <c r="AR437" s="4355"/>
      <c r="AS437" s="4355"/>
      <c r="AT437" s="4356"/>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2">
        <f t="shared" si="240"/>
        <v>0</v>
      </c>
      <c r="H438" s="4353">
        <f t="shared" si="241"/>
        <v>0</v>
      </c>
      <c r="I438" s="4354"/>
      <c r="J438" s="4354"/>
      <c r="K438" s="4354"/>
      <c r="L438" s="4354"/>
      <c r="M438" s="4354"/>
      <c r="N438" s="4354"/>
      <c r="O438" s="4354"/>
      <c r="P438" s="4354"/>
      <c r="Q438" s="4354"/>
      <c r="R438" s="4354"/>
      <c r="S438" s="4354"/>
      <c r="T438" s="4354"/>
      <c r="U438" s="4354"/>
      <c r="V438" s="4354"/>
      <c r="W438" s="4354"/>
      <c r="X438" s="4354"/>
      <c r="Y438" s="4354"/>
      <c r="Z438" s="4354"/>
      <c r="AA438" s="4354"/>
      <c r="AB438" s="4354"/>
      <c r="AC438" s="403">
        <f t="shared" si="242"/>
        <v>0</v>
      </c>
      <c r="AD438" s="4355"/>
      <c r="AE438" s="4355"/>
      <c r="AF438" s="4355"/>
      <c r="AG438" s="4355"/>
      <c r="AH438" s="4355"/>
      <c r="AI438" s="4355"/>
      <c r="AJ438" s="4355"/>
      <c r="AK438" s="4355"/>
      <c r="AL438" s="4355"/>
      <c r="AM438" s="4355"/>
      <c r="AN438" s="4355"/>
      <c r="AO438" s="4355"/>
      <c r="AP438" s="4355"/>
      <c r="AQ438" s="4355"/>
      <c r="AR438" s="4355"/>
      <c r="AS438" s="4355"/>
      <c r="AT438" s="4356"/>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2">
        <f t="shared" si="240"/>
        <v>0</v>
      </c>
      <c r="H439" s="4353">
        <f t="shared" si="241"/>
        <v>0</v>
      </c>
      <c r="I439" s="4354"/>
      <c r="J439" s="4354"/>
      <c r="K439" s="4354"/>
      <c r="L439" s="4354"/>
      <c r="M439" s="4354"/>
      <c r="N439" s="4354"/>
      <c r="O439" s="4354"/>
      <c r="P439" s="4354"/>
      <c r="Q439" s="4354"/>
      <c r="R439" s="4354"/>
      <c r="S439" s="4354"/>
      <c r="T439" s="4354"/>
      <c r="U439" s="4354"/>
      <c r="V439" s="4354"/>
      <c r="W439" s="4354"/>
      <c r="X439" s="4354"/>
      <c r="Y439" s="4354"/>
      <c r="Z439" s="4354"/>
      <c r="AA439" s="4354"/>
      <c r="AB439" s="4354"/>
      <c r="AC439" s="403">
        <f t="shared" si="242"/>
        <v>0</v>
      </c>
      <c r="AD439" s="4355"/>
      <c r="AE439" s="4355"/>
      <c r="AF439" s="4355"/>
      <c r="AG439" s="4355"/>
      <c r="AH439" s="4355"/>
      <c r="AI439" s="4355"/>
      <c r="AJ439" s="4355"/>
      <c r="AK439" s="4355"/>
      <c r="AL439" s="4355"/>
      <c r="AM439" s="4355"/>
      <c r="AN439" s="4355"/>
      <c r="AO439" s="4355"/>
      <c r="AP439" s="4355"/>
      <c r="AQ439" s="4355"/>
      <c r="AR439" s="4355"/>
      <c r="AS439" s="4355"/>
      <c r="AT439" s="4356"/>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2">
        <f t="shared" si="240"/>
        <v>0</v>
      </c>
      <c r="H440" s="4353">
        <f t="shared" si="241"/>
        <v>0</v>
      </c>
      <c r="I440" s="4354"/>
      <c r="J440" s="4354"/>
      <c r="K440" s="4354"/>
      <c r="L440" s="4354"/>
      <c r="M440" s="4354"/>
      <c r="N440" s="4354"/>
      <c r="O440" s="4354"/>
      <c r="P440" s="4354"/>
      <c r="Q440" s="4354"/>
      <c r="R440" s="4354"/>
      <c r="S440" s="4354"/>
      <c r="T440" s="4354"/>
      <c r="U440" s="4354"/>
      <c r="V440" s="4354"/>
      <c r="W440" s="4354"/>
      <c r="X440" s="4354"/>
      <c r="Y440" s="4354"/>
      <c r="Z440" s="4354"/>
      <c r="AA440" s="4354"/>
      <c r="AB440" s="4354"/>
      <c r="AC440" s="403">
        <f t="shared" si="242"/>
        <v>0</v>
      </c>
      <c r="AD440" s="4355"/>
      <c r="AE440" s="4355"/>
      <c r="AF440" s="4355"/>
      <c r="AG440" s="4355"/>
      <c r="AH440" s="4355"/>
      <c r="AI440" s="4355"/>
      <c r="AJ440" s="4355"/>
      <c r="AK440" s="4355"/>
      <c r="AL440" s="4355"/>
      <c r="AM440" s="4355"/>
      <c r="AN440" s="4355"/>
      <c r="AO440" s="4355"/>
      <c r="AP440" s="4355"/>
      <c r="AQ440" s="4355"/>
      <c r="AR440" s="4355"/>
      <c r="AS440" s="4355"/>
      <c r="AT440" s="4356"/>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2">
        <f t="shared" si="240"/>
        <v>0</v>
      </c>
      <c r="H441" s="4353">
        <f t="shared" si="241"/>
        <v>0</v>
      </c>
      <c r="I441" s="4354"/>
      <c r="J441" s="4354"/>
      <c r="K441" s="4354"/>
      <c r="L441" s="4354"/>
      <c r="M441" s="4354"/>
      <c r="N441" s="4354"/>
      <c r="O441" s="4354"/>
      <c r="P441" s="4354"/>
      <c r="Q441" s="4354"/>
      <c r="R441" s="4354"/>
      <c r="S441" s="4354"/>
      <c r="T441" s="4354"/>
      <c r="U441" s="4354"/>
      <c r="V441" s="4354"/>
      <c r="W441" s="4354"/>
      <c r="X441" s="4354"/>
      <c r="Y441" s="4354"/>
      <c r="Z441" s="4354"/>
      <c r="AA441" s="4354"/>
      <c r="AB441" s="4354"/>
      <c r="AC441" s="403">
        <f t="shared" si="242"/>
        <v>0</v>
      </c>
      <c r="AD441" s="4355"/>
      <c r="AE441" s="4355"/>
      <c r="AF441" s="4355"/>
      <c r="AG441" s="4355"/>
      <c r="AH441" s="4355"/>
      <c r="AI441" s="4355"/>
      <c r="AJ441" s="4355"/>
      <c r="AK441" s="4355"/>
      <c r="AL441" s="4355"/>
      <c r="AM441" s="4355"/>
      <c r="AN441" s="4355"/>
      <c r="AO441" s="4355"/>
      <c r="AP441" s="4355"/>
      <c r="AQ441" s="4355"/>
      <c r="AR441" s="4355"/>
      <c r="AS441" s="4355"/>
      <c r="AT441" s="4356"/>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2">
        <f t="shared" si="240"/>
        <v>0</v>
      </c>
      <c r="H442" s="4353">
        <f t="shared" si="241"/>
        <v>0</v>
      </c>
      <c r="I442" s="4354"/>
      <c r="J442" s="4354"/>
      <c r="K442" s="4354"/>
      <c r="L442" s="4354"/>
      <c r="M442" s="4354"/>
      <c r="N442" s="4354"/>
      <c r="O442" s="4354"/>
      <c r="P442" s="4354"/>
      <c r="Q442" s="4354"/>
      <c r="R442" s="4354"/>
      <c r="S442" s="4354"/>
      <c r="T442" s="4354"/>
      <c r="U442" s="4354"/>
      <c r="V442" s="4354"/>
      <c r="W442" s="4354"/>
      <c r="X442" s="4354"/>
      <c r="Y442" s="4354"/>
      <c r="Z442" s="4354"/>
      <c r="AA442" s="4354"/>
      <c r="AB442" s="4354"/>
      <c r="AC442" s="403">
        <f t="shared" si="242"/>
        <v>0</v>
      </c>
      <c r="AD442" s="4355"/>
      <c r="AE442" s="4355"/>
      <c r="AF442" s="4355"/>
      <c r="AG442" s="4355"/>
      <c r="AH442" s="4355"/>
      <c r="AI442" s="4355"/>
      <c r="AJ442" s="4355"/>
      <c r="AK442" s="4355"/>
      <c r="AL442" s="4355"/>
      <c r="AM442" s="4355"/>
      <c r="AN442" s="4355"/>
      <c r="AO442" s="4355"/>
      <c r="AP442" s="4355"/>
      <c r="AQ442" s="4355"/>
      <c r="AR442" s="4355"/>
      <c r="AS442" s="4355"/>
      <c r="AT442" s="4356"/>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2">
        <f t="shared" si="240"/>
        <v>0</v>
      </c>
      <c r="H443" s="4353">
        <f t="shared" si="241"/>
        <v>0</v>
      </c>
      <c r="I443" s="4354"/>
      <c r="J443" s="4354"/>
      <c r="K443" s="4354"/>
      <c r="L443" s="4354"/>
      <c r="M443" s="4354"/>
      <c r="N443" s="4354"/>
      <c r="O443" s="4354"/>
      <c r="P443" s="4354"/>
      <c r="Q443" s="4354"/>
      <c r="R443" s="4354"/>
      <c r="S443" s="4354"/>
      <c r="T443" s="4354"/>
      <c r="U443" s="4354"/>
      <c r="V443" s="4354"/>
      <c r="W443" s="4354"/>
      <c r="X443" s="4354"/>
      <c r="Y443" s="4354"/>
      <c r="Z443" s="4354"/>
      <c r="AA443" s="4354"/>
      <c r="AB443" s="4354"/>
      <c r="AC443" s="403">
        <f t="shared" si="242"/>
        <v>0</v>
      </c>
      <c r="AD443" s="4355"/>
      <c r="AE443" s="4355"/>
      <c r="AF443" s="4355"/>
      <c r="AG443" s="4355"/>
      <c r="AH443" s="4355"/>
      <c r="AI443" s="4355"/>
      <c r="AJ443" s="4355"/>
      <c r="AK443" s="4355"/>
      <c r="AL443" s="4355"/>
      <c r="AM443" s="4355"/>
      <c r="AN443" s="4355"/>
      <c r="AO443" s="4355"/>
      <c r="AP443" s="4355"/>
      <c r="AQ443" s="4355"/>
      <c r="AR443" s="4355"/>
      <c r="AS443" s="4355"/>
      <c r="AT443" s="4356"/>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2">
        <f t="shared" si="240"/>
        <v>0</v>
      </c>
      <c r="H444" s="4353">
        <f t="shared" si="241"/>
        <v>0</v>
      </c>
      <c r="I444" s="4354"/>
      <c r="J444" s="4354"/>
      <c r="K444" s="4354"/>
      <c r="L444" s="4354"/>
      <c r="M444" s="4354"/>
      <c r="N444" s="4354"/>
      <c r="O444" s="4354"/>
      <c r="P444" s="4354"/>
      <c r="Q444" s="4354"/>
      <c r="R444" s="4354"/>
      <c r="S444" s="4354"/>
      <c r="T444" s="4354"/>
      <c r="U444" s="4354"/>
      <c r="V444" s="4354"/>
      <c r="W444" s="4354"/>
      <c r="X444" s="4354"/>
      <c r="Y444" s="4354"/>
      <c r="Z444" s="4354"/>
      <c r="AA444" s="4354"/>
      <c r="AB444" s="4354"/>
      <c r="AC444" s="403">
        <f t="shared" si="242"/>
        <v>0</v>
      </c>
      <c r="AD444" s="4355"/>
      <c r="AE444" s="4355"/>
      <c r="AF444" s="4355"/>
      <c r="AG444" s="4355"/>
      <c r="AH444" s="4355"/>
      <c r="AI444" s="4355"/>
      <c r="AJ444" s="4355"/>
      <c r="AK444" s="4355"/>
      <c r="AL444" s="4355"/>
      <c r="AM444" s="4355"/>
      <c r="AN444" s="4355"/>
      <c r="AO444" s="4355"/>
      <c r="AP444" s="4355"/>
      <c r="AQ444" s="4355"/>
      <c r="AR444" s="4355"/>
      <c r="AS444" s="4355"/>
      <c r="AT444" s="4356"/>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2">
        <f t="shared" si="240"/>
        <v>0</v>
      </c>
      <c r="H445" s="4353">
        <f t="shared" si="241"/>
        <v>0</v>
      </c>
      <c r="I445" s="4354"/>
      <c r="J445" s="4354"/>
      <c r="K445" s="4354"/>
      <c r="L445" s="4354"/>
      <c r="M445" s="4354"/>
      <c r="N445" s="4354"/>
      <c r="O445" s="4354"/>
      <c r="P445" s="4354"/>
      <c r="Q445" s="4354"/>
      <c r="R445" s="4354"/>
      <c r="S445" s="4354"/>
      <c r="T445" s="4354"/>
      <c r="U445" s="4354"/>
      <c r="V445" s="4354"/>
      <c r="W445" s="4354"/>
      <c r="X445" s="4354"/>
      <c r="Y445" s="4354"/>
      <c r="Z445" s="4354"/>
      <c r="AA445" s="4354"/>
      <c r="AB445" s="4354"/>
      <c r="AC445" s="403">
        <f t="shared" si="242"/>
        <v>0</v>
      </c>
      <c r="AD445" s="4355"/>
      <c r="AE445" s="4355"/>
      <c r="AF445" s="4355"/>
      <c r="AG445" s="4355"/>
      <c r="AH445" s="4355"/>
      <c r="AI445" s="4355"/>
      <c r="AJ445" s="4355"/>
      <c r="AK445" s="4355"/>
      <c r="AL445" s="4355"/>
      <c r="AM445" s="4355"/>
      <c r="AN445" s="4355"/>
      <c r="AO445" s="4355"/>
      <c r="AP445" s="4355"/>
      <c r="AQ445" s="4355"/>
      <c r="AR445" s="4355"/>
      <c r="AS445" s="4355"/>
      <c r="AT445" s="4356"/>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2">
        <f t="shared" si="240"/>
        <v>0</v>
      </c>
      <c r="H446" s="4353">
        <f t="shared" si="241"/>
        <v>0</v>
      </c>
      <c r="I446" s="4354"/>
      <c r="J446" s="4354"/>
      <c r="K446" s="4354"/>
      <c r="L446" s="4354"/>
      <c r="M446" s="4354"/>
      <c r="N446" s="4354"/>
      <c r="O446" s="4354"/>
      <c r="P446" s="4354"/>
      <c r="Q446" s="4354"/>
      <c r="R446" s="4354"/>
      <c r="S446" s="4354"/>
      <c r="T446" s="4354"/>
      <c r="U446" s="4354"/>
      <c r="V446" s="4354"/>
      <c r="W446" s="4354"/>
      <c r="X446" s="4354"/>
      <c r="Y446" s="4354"/>
      <c r="Z446" s="4354"/>
      <c r="AA446" s="4354"/>
      <c r="AB446" s="4354"/>
      <c r="AC446" s="403">
        <f t="shared" si="242"/>
        <v>0</v>
      </c>
      <c r="AD446" s="4355"/>
      <c r="AE446" s="4355"/>
      <c r="AF446" s="4355"/>
      <c r="AG446" s="4355"/>
      <c r="AH446" s="4355"/>
      <c r="AI446" s="4355"/>
      <c r="AJ446" s="4355"/>
      <c r="AK446" s="4355"/>
      <c r="AL446" s="4355"/>
      <c r="AM446" s="4355"/>
      <c r="AN446" s="4355"/>
      <c r="AO446" s="4355"/>
      <c r="AP446" s="4355"/>
      <c r="AQ446" s="4355"/>
      <c r="AR446" s="4355"/>
      <c r="AS446" s="4355"/>
      <c r="AT446" s="4356"/>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2">
        <f t="shared" si="240"/>
        <v>0</v>
      </c>
      <c r="H447" s="4353">
        <f t="shared" si="241"/>
        <v>0</v>
      </c>
      <c r="I447" s="4354"/>
      <c r="J447" s="4354"/>
      <c r="K447" s="4354"/>
      <c r="L447" s="4354"/>
      <c r="M447" s="4354"/>
      <c r="N447" s="4354"/>
      <c r="O447" s="4354"/>
      <c r="P447" s="4354"/>
      <c r="Q447" s="4354"/>
      <c r="R447" s="4354"/>
      <c r="S447" s="4354"/>
      <c r="T447" s="4354"/>
      <c r="U447" s="4354"/>
      <c r="V447" s="4354"/>
      <c r="W447" s="4354"/>
      <c r="X447" s="4354"/>
      <c r="Y447" s="4354"/>
      <c r="Z447" s="4354"/>
      <c r="AA447" s="4354"/>
      <c r="AB447" s="4354"/>
      <c r="AC447" s="403">
        <f t="shared" si="242"/>
        <v>0</v>
      </c>
      <c r="AD447" s="4355"/>
      <c r="AE447" s="4355"/>
      <c r="AF447" s="4355"/>
      <c r="AG447" s="4355"/>
      <c r="AH447" s="4355"/>
      <c r="AI447" s="4355"/>
      <c r="AJ447" s="4355"/>
      <c r="AK447" s="4355"/>
      <c r="AL447" s="4355"/>
      <c r="AM447" s="4355"/>
      <c r="AN447" s="4355"/>
      <c r="AO447" s="4355"/>
      <c r="AP447" s="4355"/>
      <c r="AQ447" s="4355"/>
      <c r="AR447" s="4355"/>
      <c r="AS447" s="4355"/>
      <c r="AT447" s="4356"/>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2">
        <f t="shared" si="240"/>
        <v>0</v>
      </c>
      <c r="H448" s="4353">
        <f t="shared" si="241"/>
        <v>0</v>
      </c>
      <c r="I448" s="4354"/>
      <c r="J448" s="4354"/>
      <c r="K448" s="4354"/>
      <c r="L448" s="4354"/>
      <c r="M448" s="4354"/>
      <c r="N448" s="4354"/>
      <c r="O448" s="4354"/>
      <c r="P448" s="4354"/>
      <c r="Q448" s="4354"/>
      <c r="R448" s="4354"/>
      <c r="S448" s="4354"/>
      <c r="T448" s="4354"/>
      <c r="U448" s="4354"/>
      <c r="V448" s="4354"/>
      <c r="W448" s="4354"/>
      <c r="X448" s="4354"/>
      <c r="Y448" s="4354"/>
      <c r="Z448" s="4354"/>
      <c r="AA448" s="4354"/>
      <c r="AB448" s="4354"/>
      <c r="AC448" s="403">
        <f t="shared" si="242"/>
        <v>0</v>
      </c>
      <c r="AD448" s="4355"/>
      <c r="AE448" s="4355"/>
      <c r="AF448" s="4355"/>
      <c r="AG448" s="4355"/>
      <c r="AH448" s="4355"/>
      <c r="AI448" s="4355"/>
      <c r="AJ448" s="4355"/>
      <c r="AK448" s="4355"/>
      <c r="AL448" s="4355"/>
      <c r="AM448" s="4355"/>
      <c r="AN448" s="4355"/>
      <c r="AO448" s="4355"/>
      <c r="AP448" s="4355"/>
      <c r="AQ448" s="4355"/>
      <c r="AR448" s="4355"/>
      <c r="AS448" s="4355"/>
      <c r="AT448" s="4356"/>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2">
        <f t="shared" si="240"/>
        <v>0</v>
      </c>
      <c r="H449" s="4353">
        <f t="shared" si="241"/>
        <v>0</v>
      </c>
      <c r="I449" s="4354"/>
      <c r="J449" s="4354"/>
      <c r="K449" s="4354"/>
      <c r="L449" s="4354"/>
      <c r="M449" s="4354"/>
      <c r="N449" s="4354"/>
      <c r="O449" s="4354"/>
      <c r="P449" s="4354"/>
      <c r="Q449" s="4354"/>
      <c r="R449" s="4354"/>
      <c r="S449" s="4354"/>
      <c r="T449" s="4354"/>
      <c r="U449" s="4354"/>
      <c r="V449" s="4354"/>
      <c r="W449" s="4354"/>
      <c r="X449" s="4354"/>
      <c r="Y449" s="4354"/>
      <c r="Z449" s="4354"/>
      <c r="AA449" s="4354"/>
      <c r="AB449" s="4354"/>
      <c r="AC449" s="403">
        <f t="shared" si="242"/>
        <v>0</v>
      </c>
      <c r="AD449" s="4355"/>
      <c r="AE449" s="4355"/>
      <c r="AF449" s="4355"/>
      <c r="AG449" s="4355"/>
      <c r="AH449" s="4355"/>
      <c r="AI449" s="4355"/>
      <c r="AJ449" s="4355"/>
      <c r="AK449" s="4355"/>
      <c r="AL449" s="4355"/>
      <c r="AM449" s="4355"/>
      <c r="AN449" s="4355"/>
      <c r="AO449" s="4355"/>
      <c r="AP449" s="4355"/>
      <c r="AQ449" s="4355"/>
      <c r="AR449" s="4355"/>
      <c r="AS449" s="4355"/>
      <c r="AT449" s="4356"/>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2">
        <f t="shared" si="240"/>
        <v>0</v>
      </c>
      <c r="H450" s="4353">
        <f t="shared" si="241"/>
        <v>0</v>
      </c>
      <c r="I450" s="4354"/>
      <c r="J450" s="4354"/>
      <c r="K450" s="4354"/>
      <c r="L450" s="4354"/>
      <c r="M450" s="4354"/>
      <c r="N450" s="4354"/>
      <c r="O450" s="4354"/>
      <c r="P450" s="4354"/>
      <c r="Q450" s="4354"/>
      <c r="R450" s="4354"/>
      <c r="S450" s="4354"/>
      <c r="T450" s="4354"/>
      <c r="U450" s="4354"/>
      <c r="V450" s="4354"/>
      <c r="W450" s="4354"/>
      <c r="X450" s="4354"/>
      <c r="Y450" s="4354"/>
      <c r="Z450" s="4354"/>
      <c r="AA450" s="4354"/>
      <c r="AB450" s="4354"/>
      <c r="AC450" s="403">
        <f t="shared" si="242"/>
        <v>0</v>
      </c>
      <c r="AD450" s="4355"/>
      <c r="AE450" s="4355"/>
      <c r="AF450" s="4355"/>
      <c r="AG450" s="4355"/>
      <c r="AH450" s="4355"/>
      <c r="AI450" s="4355"/>
      <c r="AJ450" s="4355"/>
      <c r="AK450" s="4355"/>
      <c r="AL450" s="4355"/>
      <c r="AM450" s="4355"/>
      <c r="AN450" s="4355"/>
      <c r="AO450" s="4355"/>
      <c r="AP450" s="4355"/>
      <c r="AQ450" s="4355"/>
      <c r="AR450" s="4355"/>
      <c r="AS450" s="4355"/>
      <c r="AT450" s="4356"/>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2">
        <f t="shared" si="240"/>
        <v>0</v>
      </c>
      <c r="H451" s="4353">
        <f t="shared" si="241"/>
        <v>0</v>
      </c>
      <c r="I451" s="4354"/>
      <c r="J451" s="4354"/>
      <c r="K451" s="4354"/>
      <c r="L451" s="4354"/>
      <c r="M451" s="4354"/>
      <c r="N451" s="4354"/>
      <c r="O451" s="4354"/>
      <c r="P451" s="4354"/>
      <c r="Q451" s="4354"/>
      <c r="R451" s="4354"/>
      <c r="S451" s="4354"/>
      <c r="T451" s="4354"/>
      <c r="U451" s="4354"/>
      <c r="V451" s="4354"/>
      <c r="W451" s="4354"/>
      <c r="X451" s="4354"/>
      <c r="Y451" s="4354"/>
      <c r="Z451" s="4354"/>
      <c r="AA451" s="4354"/>
      <c r="AB451" s="4354"/>
      <c r="AC451" s="403">
        <f t="shared" si="242"/>
        <v>0</v>
      </c>
      <c r="AD451" s="4355"/>
      <c r="AE451" s="4355"/>
      <c r="AF451" s="4355"/>
      <c r="AG451" s="4355"/>
      <c r="AH451" s="4355"/>
      <c r="AI451" s="4355"/>
      <c r="AJ451" s="4355"/>
      <c r="AK451" s="4355"/>
      <c r="AL451" s="4355"/>
      <c r="AM451" s="4355"/>
      <c r="AN451" s="4355"/>
      <c r="AO451" s="4355"/>
      <c r="AP451" s="4355"/>
      <c r="AQ451" s="4355"/>
      <c r="AR451" s="4355"/>
      <c r="AS451" s="4355"/>
      <c r="AT451" s="4356"/>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2">
        <f t="shared" si="240"/>
        <v>0</v>
      </c>
      <c r="H452" s="4353">
        <f t="shared" si="241"/>
        <v>0</v>
      </c>
      <c r="I452" s="4354"/>
      <c r="J452" s="4354"/>
      <c r="K452" s="4354"/>
      <c r="L452" s="4354"/>
      <c r="M452" s="4354"/>
      <c r="N452" s="4354"/>
      <c r="O452" s="4354"/>
      <c r="P452" s="4354"/>
      <c r="Q452" s="4354"/>
      <c r="R452" s="4354"/>
      <c r="S452" s="4354"/>
      <c r="T452" s="4354"/>
      <c r="U452" s="4354"/>
      <c r="V452" s="4354"/>
      <c r="W452" s="4354"/>
      <c r="X452" s="4354"/>
      <c r="Y452" s="4354"/>
      <c r="Z452" s="4354"/>
      <c r="AA452" s="4354"/>
      <c r="AB452" s="4354"/>
      <c r="AC452" s="403">
        <f t="shared" si="242"/>
        <v>0</v>
      </c>
      <c r="AD452" s="4355"/>
      <c r="AE452" s="4355"/>
      <c r="AF452" s="4355"/>
      <c r="AG452" s="4355"/>
      <c r="AH452" s="4355"/>
      <c r="AI452" s="4355"/>
      <c r="AJ452" s="4355"/>
      <c r="AK452" s="4355"/>
      <c r="AL452" s="4355"/>
      <c r="AM452" s="4355"/>
      <c r="AN452" s="4355"/>
      <c r="AO452" s="4355"/>
      <c r="AP452" s="4355"/>
      <c r="AQ452" s="4355"/>
      <c r="AR452" s="4355"/>
      <c r="AS452" s="4355"/>
      <c r="AT452" s="4356"/>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2">
        <f t="shared" si="240"/>
        <v>0</v>
      </c>
      <c r="H453" s="4353">
        <f t="shared" si="241"/>
        <v>0</v>
      </c>
      <c r="I453" s="4354"/>
      <c r="J453" s="4354"/>
      <c r="K453" s="4354"/>
      <c r="L453" s="4354"/>
      <c r="M453" s="4354"/>
      <c r="N453" s="4354"/>
      <c r="O453" s="4354"/>
      <c r="P453" s="4354"/>
      <c r="Q453" s="4354"/>
      <c r="R453" s="4354"/>
      <c r="S453" s="4354"/>
      <c r="T453" s="4354"/>
      <c r="U453" s="4354"/>
      <c r="V453" s="4354"/>
      <c r="W453" s="4354"/>
      <c r="X453" s="4354"/>
      <c r="Y453" s="4354"/>
      <c r="Z453" s="4354"/>
      <c r="AA453" s="4354"/>
      <c r="AB453" s="4354"/>
      <c r="AC453" s="403">
        <f t="shared" si="242"/>
        <v>0</v>
      </c>
      <c r="AD453" s="4355"/>
      <c r="AE453" s="4355"/>
      <c r="AF453" s="4355"/>
      <c r="AG453" s="4355"/>
      <c r="AH453" s="4355"/>
      <c r="AI453" s="4355"/>
      <c r="AJ453" s="4355"/>
      <c r="AK453" s="4355"/>
      <c r="AL453" s="4355"/>
      <c r="AM453" s="4355"/>
      <c r="AN453" s="4355"/>
      <c r="AO453" s="4355"/>
      <c r="AP453" s="4355"/>
      <c r="AQ453" s="4355"/>
      <c r="AR453" s="4355"/>
      <c r="AS453" s="4355"/>
      <c r="AT453" s="4356"/>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2">
        <f t="shared" si="240"/>
        <v>0</v>
      </c>
      <c r="H454" s="4353">
        <f t="shared" si="241"/>
        <v>0</v>
      </c>
      <c r="I454" s="4354"/>
      <c r="J454" s="4354"/>
      <c r="K454" s="4354"/>
      <c r="L454" s="4354"/>
      <c r="M454" s="4354"/>
      <c r="N454" s="4354"/>
      <c r="O454" s="4354"/>
      <c r="P454" s="4354"/>
      <c r="Q454" s="4354"/>
      <c r="R454" s="4354"/>
      <c r="S454" s="4354"/>
      <c r="T454" s="4354"/>
      <c r="U454" s="4354"/>
      <c r="V454" s="4354"/>
      <c r="W454" s="4354"/>
      <c r="X454" s="4354"/>
      <c r="Y454" s="4354"/>
      <c r="Z454" s="4354"/>
      <c r="AA454" s="4354"/>
      <c r="AB454" s="4354"/>
      <c r="AC454" s="403">
        <f t="shared" si="242"/>
        <v>0</v>
      </c>
      <c r="AD454" s="4355"/>
      <c r="AE454" s="4355"/>
      <c r="AF454" s="4355"/>
      <c r="AG454" s="4355"/>
      <c r="AH454" s="4355"/>
      <c r="AI454" s="4355"/>
      <c r="AJ454" s="4355"/>
      <c r="AK454" s="4355"/>
      <c r="AL454" s="4355"/>
      <c r="AM454" s="4355"/>
      <c r="AN454" s="4355"/>
      <c r="AO454" s="4355"/>
      <c r="AP454" s="4355"/>
      <c r="AQ454" s="4355"/>
      <c r="AR454" s="4355"/>
      <c r="AS454" s="4355"/>
      <c r="AT454" s="4356"/>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2">
        <f t="shared" si="240"/>
        <v>0</v>
      </c>
      <c r="H455" s="4353">
        <f t="shared" si="241"/>
        <v>0</v>
      </c>
      <c r="I455" s="4354"/>
      <c r="J455" s="4354"/>
      <c r="K455" s="4354"/>
      <c r="L455" s="4354"/>
      <c r="M455" s="4354"/>
      <c r="N455" s="4354"/>
      <c r="O455" s="4354"/>
      <c r="P455" s="4354"/>
      <c r="Q455" s="4354"/>
      <c r="R455" s="4354"/>
      <c r="S455" s="4354"/>
      <c r="T455" s="4354"/>
      <c r="U455" s="4354"/>
      <c r="V455" s="4354"/>
      <c r="W455" s="4354"/>
      <c r="X455" s="4354"/>
      <c r="Y455" s="4354"/>
      <c r="Z455" s="4354"/>
      <c r="AA455" s="4354"/>
      <c r="AB455" s="4354"/>
      <c r="AC455" s="403">
        <f t="shared" si="242"/>
        <v>0</v>
      </c>
      <c r="AD455" s="4355"/>
      <c r="AE455" s="4355"/>
      <c r="AF455" s="4355"/>
      <c r="AG455" s="4355"/>
      <c r="AH455" s="4355"/>
      <c r="AI455" s="4355"/>
      <c r="AJ455" s="4355"/>
      <c r="AK455" s="4355"/>
      <c r="AL455" s="4355"/>
      <c r="AM455" s="4355"/>
      <c r="AN455" s="4355"/>
      <c r="AO455" s="4355"/>
      <c r="AP455" s="4355"/>
      <c r="AQ455" s="4355"/>
      <c r="AR455" s="4355"/>
      <c r="AS455" s="4355"/>
      <c r="AT455" s="4356"/>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2">
        <f t="shared" si="240"/>
        <v>0</v>
      </c>
      <c r="H456" s="4353">
        <f t="shared" si="241"/>
        <v>0</v>
      </c>
      <c r="I456" s="4354"/>
      <c r="J456" s="4354"/>
      <c r="K456" s="4354"/>
      <c r="L456" s="4354"/>
      <c r="M456" s="4354"/>
      <c r="N456" s="4354"/>
      <c r="O456" s="4354"/>
      <c r="P456" s="4354"/>
      <c r="Q456" s="4354"/>
      <c r="R456" s="4354"/>
      <c r="S456" s="4354"/>
      <c r="T456" s="4354"/>
      <c r="U456" s="4354"/>
      <c r="V456" s="4354"/>
      <c r="W456" s="4354"/>
      <c r="X456" s="4354"/>
      <c r="Y456" s="4354"/>
      <c r="Z456" s="4354"/>
      <c r="AA456" s="4354"/>
      <c r="AB456" s="4354"/>
      <c r="AC456" s="403">
        <f t="shared" si="242"/>
        <v>0</v>
      </c>
      <c r="AD456" s="4355"/>
      <c r="AE456" s="4355"/>
      <c r="AF456" s="4355"/>
      <c r="AG456" s="4355"/>
      <c r="AH456" s="4355"/>
      <c r="AI456" s="4355"/>
      <c r="AJ456" s="4355"/>
      <c r="AK456" s="4355"/>
      <c r="AL456" s="4355"/>
      <c r="AM456" s="4355"/>
      <c r="AN456" s="4355"/>
      <c r="AO456" s="4355"/>
      <c r="AP456" s="4355"/>
      <c r="AQ456" s="4355"/>
      <c r="AR456" s="4355"/>
      <c r="AS456" s="4355"/>
      <c r="AT456" s="4356"/>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2">
        <f t="shared" si="240"/>
        <v>0</v>
      </c>
      <c r="H457" s="4353">
        <f t="shared" si="241"/>
        <v>0</v>
      </c>
      <c r="I457" s="4354"/>
      <c r="J457" s="4354"/>
      <c r="K457" s="4354"/>
      <c r="L457" s="4354"/>
      <c r="M457" s="4354"/>
      <c r="N457" s="4354"/>
      <c r="O457" s="4354"/>
      <c r="P457" s="4354"/>
      <c r="Q457" s="4354"/>
      <c r="R457" s="4354"/>
      <c r="S457" s="4354"/>
      <c r="T457" s="4354"/>
      <c r="U457" s="4354"/>
      <c r="V457" s="4354"/>
      <c r="W457" s="4354"/>
      <c r="X457" s="4354"/>
      <c r="Y457" s="4354"/>
      <c r="Z457" s="4354"/>
      <c r="AA457" s="4354"/>
      <c r="AB457" s="4354"/>
      <c r="AC457" s="403">
        <f t="shared" si="242"/>
        <v>0</v>
      </c>
      <c r="AD457" s="4355"/>
      <c r="AE457" s="4355"/>
      <c r="AF457" s="4355"/>
      <c r="AG457" s="4355"/>
      <c r="AH457" s="4355"/>
      <c r="AI457" s="4355"/>
      <c r="AJ457" s="4355"/>
      <c r="AK457" s="4355"/>
      <c r="AL457" s="4355"/>
      <c r="AM457" s="4355"/>
      <c r="AN457" s="4355"/>
      <c r="AO457" s="4355"/>
      <c r="AP457" s="4355"/>
      <c r="AQ457" s="4355"/>
      <c r="AR457" s="4355"/>
      <c r="AS457" s="4355"/>
      <c r="AT457" s="4356"/>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2">
        <f t="shared" si="240"/>
        <v>0</v>
      </c>
      <c r="H458" s="4353">
        <f t="shared" si="241"/>
        <v>0</v>
      </c>
      <c r="I458" s="4354"/>
      <c r="J458" s="4354"/>
      <c r="K458" s="4354"/>
      <c r="L458" s="4354"/>
      <c r="M458" s="4354"/>
      <c r="N458" s="4354"/>
      <c r="O458" s="4354"/>
      <c r="P458" s="4354"/>
      <c r="Q458" s="4354"/>
      <c r="R458" s="4354"/>
      <c r="S458" s="4354"/>
      <c r="T458" s="4354"/>
      <c r="U458" s="4354"/>
      <c r="V458" s="4354"/>
      <c r="W458" s="4354"/>
      <c r="X458" s="4354"/>
      <c r="Y458" s="4354"/>
      <c r="Z458" s="4354"/>
      <c r="AA458" s="4354"/>
      <c r="AB458" s="4354"/>
      <c r="AC458" s="403">
        <f t="shared" si="242"/>
        <v>0</v>
      </c>
      <c r="AD458" s="4355"/>
      <c r="AE458" s="4355"/>
      <c r="AF458" s="4355"/>
      <c r="AG458" s="4355"/>
      <c r="AH458" s="4355"/>
      <c r="AI458" s="4355"/>
      <c r="AJ458" s="4355"/>
      <c r="AK458" s="4355"/>
      <c r="AL458" s="4355"/>
      <c r="AM458" s="4355"/>
      <c r="AN458" s="4355"/>
      <c r="AO458" s="4355"/>
      <c r="AP458" s="4355"/>
      <c r="AQ458" s="4355"/>
      <c r="AR458" s="4355"/>
      <c r="AS458" s="4355"/>
      <c r="AT458" s="4356"/>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2">
        <f t="shared" si="240"/>
        <v>0</v>
      </c>
      <c r="H459" s="4353">
        <f t="shared" si="241"/>
        <v>0</v>
      </c>
      <c r="I459" s="4354"/>
      <c r="J459" s="4354"/>
      <c r="K459" s="4354"/>
      <c r="L459" s="4354"/>
      <c r="M459" s="4354"/>
      <c r="N459" s="4354"/>
      <c r="O459" s="4354"/>
      <c r="P459" s="4354"/>
      <c r="Q459" s="4354"/>
      <c r="R459" s="4354"/>
      <c r="S459" s="4354"/>
      <c r="T459" s="4354"/>
      <c r="U459" s="4354"/>
      <c r="V459" s="4354"/>
      <c r="W459" s="4354"/>
      <c r="X459" s="4354"/>
      <c r="Y459" s="4354"/>
      <c r="Z459" s="4354"/>
      <c r="AA459" s="4354"/>
      <c r="AB459" s="4354"/>
      <c r="AC459" s="403">
        <f t="shared" si="242"/>
        <v>0</v>
      </c>
      <c r="AD459" s="4355"/>
      <c r="AE459" s="4355"/>
      <c r="AF459" s="4355"/>
      <c r="AG459" s="4355"/>
      <c r="AH459" s="4355"/>
      <c r="AI459" s="4355"/>
      <c r="AJ459" s="4355"/>
      <c r="AK459" s="4355"/>
      <c r="AL459" s="4355"/>
      <c r="AM459" s="4355"/>
      <c r="AN459" s="4355"/>
      <c r="AO459" s="4355"/>
      <c r="AP459" s="4355"/>
      <c r="AQ459" s="4355"/>
      <c r="AR459" s="4355"/>
      <c r="AS459" s="4355"/>
      <c r="AT459" s="4356"/>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2">
        <f t="shared" si="240"/>
        <v>0</v>
      </c>
      <c r="H460" s="4353">
        <f t="shared" si="241"/>
        <v>0</v>
      </c>
      <c r="I460" s="4354"/>
      <c r="J460" s="4354"/>
      <c r="K460" s="4354"/>
      <c r="L460" s="4354"/>
      <c r="M460" s="4354"/>
      <c r="N460" s="4354"/>
      <c r="O460" s="4354"/>
      <c r="P460" s="4354"/>
      <c r="Q460" s="4354"/>
      <c r="R460" s="4354"/>
      <c r="S460" s="4354"/>
      <c r="T460" s="4354"/>
      <c r="U460" s="4354"/>
      <c r="V460" s="4354"/>
      <c r="W460" s="4354"/>
      <c r="X460" s="4354"/>
      <c r="Y460" s="4354"/>
      <c r="Z460" s="4354"/>
      <c r="AA460" s="4354"/>
      <c r="AB460" s="4354"/>
      <c r="AC460" s="403">
        <f t="shared" si="242"/>
        <v>0</v>
      </c>
      <c r="AD460" s="4355"/>
      <c r="AE460" s="4355"/>
      <c r="AF460" s="4355"/>
      <c r="AG460" s="4355"/>
      <c r="AH460" s="4355"/>
      <c r="AI460" s="4355"/>
      <c r="AJ460" s="4355"/>
      <c r="AK460" s="4355"/>
      <c r="AL460" s="4355"/>
      <c r="AM460" s="4355"/>
      <c r="AN460" s="4355"/>
      <c r="AO460" s="4355"/>
      <c r="AP460" s="4355"/>
      <c r="AQ460" s="4355"/>
      <c r="AR460" s="4355"/>
      <c r="AS460" s="4355"/>
      <c r="AT460" s="4356"/>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2">
        <f t="shared" si="240"/>
        <v>0</v>
      </c>
      <c r="H461" s="4353">
        <f t="shared" si="241"/>
        <v>0</v>
      </c>
      <c r="I461" s="4354"/>
      <c r="J461" s="4354"/>
      <c r="K461" s="4354"/>
      <c r="L461" s="4354"/>
      <c r="M461" s="4354"/>
      <c r="N461" s="4354"/>
      <c r="O461" s="4354"/>
      <c r="P461" s="4354"/>
      <c r="Q461" s="4354"/>
      <c r="R461" s="4354"/>
      <c r="S461" s="4354"/>
      <c r="T461" s="4354"/>
      <c r="U461" s="4354"/>
      <c r="V461" s="4354"/>
      <c r="W461" s="4354"/>
      <c r="X461" s="4354"/>
      <c r="Y461" s="4354"/>
      <c r="Z461" s="4354"/>
      <c r="AA461" s="4354"/>
      <c r="AB461" s="4354"/>
      <c r="AC461" s="403">
        <f t="shared" si="242"/>
        <v>0</v>
      </c>
      <c r="AD461" s="4355"/>
      <c r="AE461" s="4355"/>
      <c r="AF461" s="4355"/>
      <c r="AG461" s="4355"/>
      <c r="AH461" s="4355"/>
      <c r="AI461" s="4355"/>
      <c r="AJ461" s="4355"/>
      <c r="AK461" s="4355"/>
      <c r="AL461" s="4355"/>
      <c r="AM461" s="4355"/>
      <c r="AN461" s="4355"/>
      <c r="AO461" s="4355"/>
      <c r="AP461" s="4355"/>
      <c r="AQ461" s="4355"/>
      <c r="AR461" s="4355"/>
      <c r="AS461" s="4355"/>
      <c r="AT461" s="4356"/>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2">
        <f t="shared" si="240"/>
        <v>0</v>
      </c>
      <c r="H462" s="4353">
        <f t="shared" si="241"/>
        <v>0</v>
      </c>
      <c r="I462" s="4354"/>
      <c r="J462" s="4354"/>
      <c r="K462" s="4354"/>
      <c r="L462" s="4354"/>
      <c r="M462" s="4354"/>
      <c r="N462" s="4354"/>
      <c r="O462" s="4354"/>
      <c r="P462" s="4354"/>
      <c r="Q462" s="4354"/>
      <c r="R462" s="4354"/>
      <c r="S462" s="4354"/>
      <c r="T462" s="4354"/>
      <c r="U462" s="4354"/>
      <c r="V462" s="4354"/>
      <c r="W462" s="4354"/>
      <c r="X462" s="4354"/>
      <c r="Y462" s="4354"/>
      <c r="Z462" s="4354"/>
      <c r="AA462" s="4354"/>
      <c r="AB462" s="4354"/>
      <c r="AC462" s="403">
        <f t="shared" si="242"/>
        <v>0</v>
      </c>
      <c r="AD462" s="4355"/>
      <c r="AE462" s="4355"/>
      <c r="AF462" s="4355"/>
      <c r="AG462" s="4355"/>
      <c r="AH462" s="4355"/>
      <c r="AI462" s="4355"/>
      <c r="AJ462" s="4355"/>
      <c r="AK462" s="4355"/>
      <c r="AL462" s="4355"/>
      <c r="AM462" s="4355"/>
      <c r="AN462" s="4355"/>
      <c r="AO462" s="4355"/>
      <c r="AP462" s="4355"/>
      <c r="AQ462" s="4355"/>
      <c r="AR462" s="4355"/>
      <c r="AS462" s="4355"/>
      <c r="AT462" s="4356"/>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2">
        <f t="shared" si="240"/>
        <v>0</v>
      </c>
      <c r="H463" s="4353">
        <f t="shared" si="241"/>
        <v>0</v>
      </c>
      <c r="I463" s="4354"/>
      <c r="J463" s="4354"/>
      <c r="K463" s="4354"/>
      <c r="L463" s="4354"/>
      <c r="M463" s="4354"/>
      <c r="N463" s="4354"/>
      <c r="O463" s="4354"/>
      <c r="P463" s="4354"/>
      <c r="Q463" s="4354"/>
      <c r="R463" s="4354"/>
      <c r="S463" s="4354"/>
      <c r="T463" s="4354"/>
      <c r="U463" s="4354"/>
      <c r="V463" s="4354"/>
      <c r="W463" s="4354"/>
      <c r="X463" s="4354"/>
      <c r="Y463" s="4354"/>
      <c r="Z463" s="4354"/>
      <c r="AA463" s="4354"/>
      <c r="AB463" s="4354"/>
      <c r="AC463" s="403">
        <f t="shared" si="242"/>
        <v>0</v>
      </c>
      <c r="AD463" s="4355"/>
      <c r="AE463" s="4355"/>
      <c r="AF463" s="4355"/>
      <c r="AG463" s="4355"/>
      <c r="AH463" s="4355"/>
      <c r="AI463" s="4355"/>
      <c r="AJ463" s="4355"/>
      <c r="AK463" s="4355"/>
      <c r="AL463" s="4355"/>
      <c r="AM463" s="4355"/>
      <c r="AN463" s="4355"/>
      <c r="AO463" s="4355"/>
      <c r="AP463" s="4355"/>
      <c r="AQ463" s="4355"/>
      <c r="AR463" s="4355"/>
      <c r="AS463" s="4355"/>
      <c r="AT463" s="4356"/>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2">
        <f t="shared" si="240"/>
        <v>0</v>
      </c>
      <c r="H464" s="4353">
        <f t="shared" si="241"/>
        <v>0</v>
      </c>
      <c r="I464" s="4354"/>
      <c r="J464" s="4354"/>
      <c r="K464" s="4354"/>
      <c r="L464" s="4354"/>
      <c r="M464" s="4354"/>
      <c r="N464" s="4354"/>
      <c r="O464" s="4354"/>
      <c r="P464" s="4354"/>
      <c r="Q464" s="4354"/>
      <c r="R464" s="4354"/>
      <c r="S464" s="4354"/>
      <c r="T464" s="4354"/>
      <c r="U464" s="4354"/>
      <c r="V464" s="4354"/>
      <c r="W464" s="4354"/>
      <c r="X464" s="4354"/>
      <c r="Y464" s="4354"/>
      <c r="Z464" s="4354"/>
      <c r="AA464" s="4354"/>
      <c r="AB464" s="4354"/>
      <c r="AC464" s="403">
        <f t="shared" si="242"/>
        <v>0</v>
      </c>
      <c r="AD464" s="4355"/>
      <c r="AE464" s="4355"/>
      <c r="AF464" s="4355"/>
      <c r="AG464" s="4355"/>
      <c r="AH464" s="4355"/>
      <c r="AI464" s="4355"/>
      <c r="AJ464" s="4355"/>
      <c r="AK464" s="4355"/>
      <c r="AL464" s="4355"/>
      <c r="AM464" s="4355"/>
      <c r="AN464" s="4355"/>
      <c r="AO464" s="4355"/>
      <c r="AP464" s="4355"/>
      <c r="AQ464" s="4355"/>
      <c r="AR464" s="4355"/>
      <c r="AS464" s="4355"/>
      <c r="AT464" s="4356"/>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2">
        <f t="shared" si="240"/>
        <v>0</v>
      </c>
      <c r="H465" s="4353">
        <f t="shared" si="241"/>
        <v>0</v>
      </c>
      <c r="I465" s="4354"/>
      <c r="J465" s="4354"/>
      <c r="K465" s="4354"/>
      <c r="L465" s="4354"/>
      <c r="M465" s="4354"/>
      <c r="N465" s="4354"/>
      <c r="O465" s="4354"/>
      <c r="P465" s="4354"/>
      <c r="Q465" s="4354"/>
      <c r="R465" s="4354"/>
      <c r="S465" s="4354"/>
      <c r="T465" s="4354"/>
      <c r="U465" s="4354"/>
      <c r="V465" s="4354"/>
      <c r="W465" s="4354"/>
      <c r="X465" s="4354"/>
      <c r="Y465" s="4354"/>
      <c r="Z465" s="4354"/>
      <c r="AA465" s="4354"/>
      <c r="AB465" s="4354"/>
      <c r="AC465" s="403">
        <f t="shared" si="242"/>
        <v>0</v>
      </c>
      <c r="AD465" s="4355"/>
      <c r="AE465" s="4355"/>
      <c r="AF465" s="4355"/>
      <c r="AG465" s="4355"/>
      <c r="AH465" s="4355"/>
      <c r="AI465" s="4355"/>
      <c r="AJ465" s="4355"/>
      <c r="AK465" s="4355"/>
      <c r="AL465" s="4355"/>
      <c r="AM465" s="4355"/>
      <c r="AN465" s="4355"/>
      <c r="AO465" s="4355"/>
      <c r="AP465" s="4355"/>
      <c r="AQ465" s="4355"/>
      <c r="AR465" s="4355"/>
      <c r="AS465" s="4355"/>
      <c r="AT465" s="4356"/>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2">
        <f t="shared" si="240"/>
        <v>0</v>
      </c>
      <c r="H466" s="4353">
        <f t="shared" si="241"/>
        <v>0</v>
      </c>
      <c r="I466" s="4354"/>
      <c r="J466" s="4354"/>
      <c r="K466" s="4354"/>
      <c r="L466" s="4354"/>
      <c r="M466" s="4354"/>
      <c r="N466" s="4354"/>
      <c r="O466" s="4354"/>
      <c r="P466" s="4354"/>
      <c r="Q466" s="4354"/>
      <c r="R466" s="4354"/>
      <c r="S466" s="4354"/>
      <c r="T466" s="4354"/>
      <c r="U466" s="4354"/>
      <c r="V466" s="4354"/>
      <c r="W466" s="4354"/>
      <c r="X466" s="4354"/>
      <c r="Y466" s="4354"/>
      <c r="Z466" s="4354"/>
      <c r="AA466" s="4354"/>
      <c r="AB466" s="4354"/>
      <c r="AC466" s="403">
        <f t="shared" si="242"/>
        <v>0</v>
      </c>
      <c r="AD466" s="4355"/>
      <c r="AE466" s="4355"/>
      <c r="AF466" s="4355"/>
      <c r="AG466" s="4355"/>
      <c r="AH466" s="4355"/>
      <c r="AI466" s="4355"/>
      <c r="AJ466" s="4355"/>
      <c r="AK466" s="4355"/>
      <c r="AL466" s="4355"/>
      <c r="AM466" s="4355"/>
      <c r="AN466" s="4355"/>
      <c r="AO466" s="4355"/>
      <c r="AP466" s="4355"/>
      <c r="AQ466" s="4355"/>
      <c r="AR466" s="4355"/>
      <c r="AS466" s="4355"/>
      <c r="AT466" s="4356"/>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2">
        <f t="shared" si="240"/>
        <v>0</v>
      </c>
      <c r="H467" s="4353">
        <f t="shared" si="241"/>
        <v>0</v>
      </c>
      <c r="I467" s="4354"/>
      <c r="J467" s="4354"/>
      <c r="K467" s="4354"/>
      <c r="L467" s="4354"/>
      <c r="M467" s="4354"/>
      <c r="N467" s="4354"/>
      <c r="O467" s="4354"/>
      <c r="P467" s="4354"/>
      <c r="Q467" s="4354"/>
      <c r="R467" s="4354"/>
      <c r="S467" s="4354"/>
      <c r="T467" s="4354"/>
      <c r="U467" s="4354"/>
      <c r="V467" s="4354"/>
      <c r="W467" s="4354"/>
      <c r="X467" s="4354"/>
      <c r="Y467" s="4354"/>
      <c r="Z467" s="4354"/>
      <c r="AA467" s="4354"/>
      <c r="AB467" s="4354"/>
      <c r="AC467" s="403">
        <f t="shared" si="242"/>
        <v>0</v>
      </c>
      <c r="AD467" s="4355"/>
      <c r="AE467" s="4355"/>
      <c r="AF467" s="4355"/>
      <c r="AG467" s="4355"/>
      <c r="AH467" s="4355"/>
      <c r="AI467" s="4355"/>
      <c r="AJ467" s="4355"/>
      <c r="AK467" s="4355"/>
      <c r="AL467" s="4355"/>
      <c r="AM467" s="4355"/>
      <c r="AN467" s="4355"/>
      <c r="AO467" s="4355"/>
      <c r="AP467" s="4355"/>
      <c r="AQ467" s="4355"/>
      <c r="AR467" s="4355"/>
      <c r="AS467" s="4355"/>
      <c r="AT467" s="4356"/>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2">
        <f t="shared" si="240"/>
        <v>0</v>
      </c>
      <c r="H468" s="4353">
        <f t="shared" si="241"/>
        <v>0</v>
      </c>
      <c r="I468" s="4354"/>
      <c r="J468" s="4354"/>
      <c r="K468" s="4354"/>
      <c r="L468" s="4354"/>
      <c r="M468" s="4354"/>
      <c r="N468" s="4354"/>
      <c r="O468" s="4354"/>
      <c r="P468" s="4354"/>
      <c r="Q468" s="4354"/>
      <c r="R468" s="4354"/>
      <c r="S468" s="4354"/>
      <c r="T468" s="4354"/>
      <c r="U468" s="4354"/>
      <c r="V468" s="4354"/>
      <c r="W468" s="4354"/>
      <c r="X468" s="4354"/>
      <c r="Y468" s="4354"/>
      <c r="Z468" s="4354"/>
      <c r="AA468" s="4354"/>
      <c r="AB468" s="4354"/>
      <c r="AC468" s="403">
        <f t="shared" si="242"/>
        <v>0</v>
      </c>
      <c r="AD468" s="4355"/>
      <c r="AE468" s="4355"/>
      <c r="AF468" s="4355"/>
      <c r="AG468" s="4355"/>
      <c r="AH468" s="4355"/>
      <c r="AI468" s="4355"/>
      <c r="AJ468" s="4355"/>
      <c r="AK468" s="4355"/>
      <c r="AL468" s="4355"/>
      <c r="AM468" s="4355"/>
      <c r="AN468" s="4355"/>
      <c r="AO468" s="4355"/>
      <c r="AP468" s="4355"/>
      <c r="AQ468" s="4355"/>
      <c r="AR468" s="4355"/>
      <c r="AS468" s="4355"/>
      <c r="AT468" s="4356"/>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2">
        <f t="shared" si="240"/>
        <v>0</v>
      </c>
      <c r="H469" s="4353">
        <f t="shared" si="241"/>
        <v>0</v>
      </c>
      <c r="I469" s="4354"/>
      <c r="J469" s="4354"/>
      <c r="K469" s="4354"/>
      <c r="L469" s="4354"/>
      <c r="M469" s="4354"/>
      <c r="N469" s="4354"/>
      <c r="O469" s="4354"/>
      <c r="P469" s="4354"/>
      <c r="Q469" s="4354"/>
      <c r="R469" s="4354"/>
      <c r="S469" s="4354"/>
      <c r="T469" s="4354"/>
      <c r="U469" s="4354"/>
      <c r="V469" s="4354"/>
      <c r="W469" s="4354"/>
      <c r="X469" s="4354"/>
      <c r="Y469" s="4354"/>
      <c r="Z469" s="4354"/>
      <c r="AA469" s="4354"/>
      <c r="AB469" s="4354"/>
      <c r="AC469" s="403">
        <f t="shared" si="242"/>
        <v>0</v>
      </c>
      <c r="AD469" s="4355"/>
      <c r="AE469" s="4355"/>
      <c r="AF469" s="4355"/>
      <c r="AG469" s="4355"/>
      <c r="AH469" s="4355"/>
      <c r="AI469" s="4355"/>
      <c r="AJ469" s="4355"/>
      <c r="AK469" s="4355"/>
      <c r="AL469" s="4355"/>
      <c r="AM469" s="4355"/>
      <c r="AN469" s="4355"/>
      <c r="AO469" s="4355"/>
      <c r="AP469" s="4355"/>
      <c r="AQ469" s="4355"/>
      <c r="AR469" s="4355"/>
      <c r="AS469" s="4355"/>
      <c r="AT469" s="4356"/>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2">
        <f t="shared" si="240"/>
        <v>0</v>
      </c>
      <c r="H470" s="4353">
        <f t="shared" si="241"/>
        <v>0</v>
      </c>
      <c r="I470" s="4354"/>
      <c r="J470" s="4354"/>
      <c r="K470" s="4354"/>
      <c r="L470" s="4354"/>
      <c r="M470" s="4354"/>
      <c r="N470" s="4354"/>
      <c r="O470" s="4354"/>
      <c r="P470" s="4354"/>
      <c r="Q470" s="4354"/>
      <c r="R470" s="4354"/>
      <c r="S470" s="4354"/>
      <c r="T470" s="4354"/>
      <c r="U470" s="4354"/>
      <c r="V470" s="4354"/>
      <c r="W470" s="4354"/>
      <c r="X470" s="4354"/>
      <c r="Y470" s="4354"/>
      <c r="Z470" s="4354"/>
      <c r="AA470" s="4354"/>
      <c r="AB470" s="4354"/>
      <c r="AC470" s="403">
        <f t="shared" si="242"/>
        <v>0</v>
      </c>
      <c r="AD470" s="4355"/>
      <c r="AE470" s="4355"/>
      <c r="AF470" s="4355"/>
      <c r="AG470" s="4355"/>
      <c r="AH470" s="4355"/>
      <c r="AI470" s="4355"/>
      <c r="AJ470" s="4355"/>
      <c r="AK470" s="4355"/>
      <c r="AL470" s="4355"/>
      <c r="AM470" s="4355"/>
      <c r="AN470" s="4355"/>
      <c r="AO470" s="4355"/>
      <c r="AP470" s="4355"/>
      <c r="AQ470" s="4355"/>
      <c r="AR470" s="4355"/>
      <c r="AS470" s="4355"/>
      <c r="AT470" s="4356"/>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2">
        <f t="shared" si="240"/>
        <v>0</v>
      </c>
      <c r="H471" s="4353">
        <f t="shared" si="241"/>
        <v>0</v>
      </c>
      <c r="I471" s="4354"/>
      <c r="J471" s="4354"/>
      <c r="K471" s="4354"/>
      <c r="L471" s="4354"/>
      <c r="M471" s="4354"/>
      <c r="N471" s="4354"/>
      <c r="O471" s="4354"/>
      <c r="P471" s="4354"/>
      <c r="Q471" s="4354"/>
      <c r="R471" s="4354"/>
      <c r="S471" s="4354"/>
      <c r="T471" s="4354"/>
      <c r="U471" s="4354"/>
      <c r="V471" s="4354"/>
      <c r="W471" s="4354"/>
      <c r="X471" s="4354"/>
      <c r="Y471" s="4354"/>
      <c r="Z471" s="4354"/>
      <c r="AA471" s="4354"/>
      <c r="AB471" s="4354"/>
      <c r="AC471" s="403">
        <f t="shared" si="242"/>
        <v>0</v>
      </c>
      <c r="AD471" s="4355"/>
      <c r="AE471" s="4355"/>
      <c r="AF471" s="4355"/>
      <c r="AG471" s="4355"/>
      <c r="AH471" s="4355"/>
      <c r="AI471" s="4355"/>
      <c r="AJ471" s="4355"/>
      <c r="AK471" s="4355"/>
      <c r="AL471" s="4355"/>
      <c r="AM471" s="4355"/>
      <c r="AN471" s="4355"/>
      <c r="AO471" s="4355"/>
      <c r="AP471" s="4355"/>
      <c r="AQ471" s="4355"/>
      <c r="AR471" s="4355"/>
      <c r="AS471" s="4355"/>
      <c r="AT471" s="4356"/>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2">
        <f t="shared" si="240"/>
        <v>0</v>
      </c>
      <c r="H472" s="4353">
        <f t="shared" si="241"/>
        <v>0</v>
      </c>
      <c r="I472" s="4354"/>
      <c r="J472" s="4354"/>
      <c r="K472" s="4354"/>
      <c r="L472" s="4354"/>
      <c r="M472" s="4354"/>
      <c r="N472" s="4354"/>
      <c r="O472" s="4354"/>
      <c r="P472" s="4354"/>
      <c r="Q472" s="4354"/>
      <c r="R472" s="4354"/>
      <c r="S472" s="4354"/>
      <c r="T472" s="4354"/>
      <c r="U472" s="4354"/>
      <c r="V472" s="4354"/>
      <c r="W472" s="4354"/>
      <c r="X472" s="4354"/>
      <c r="Y472" s="4354"/>
      <c r="Z472" s="4354"/>
      <c r="AA472" s="4354"/>
      <c r="AB472" s="4354"/>
      <c r="AC472" s="403">
        <f t="shared" si="242"/>
        <v>0</v>
      </c>
      <c r="AD472" s="4355"/>
      <c r="AE472" s="4355"/>
      <c r="AF472" s="4355"/>
      <c r="AG472" s="4355"/>
      <c r="AH472" s="4355"/>
      <c r="AI472" s="4355"/>
      <c r="AJ472" s="4355"/>
      <c r="AK472" s="4355"/>
      <c r="AL472" s="4355"/>
      <c r="AM472" s="4355"/>
      <c r="AN472" s="4355"/>
      <c r="AO472" s="4355"/>
      <c r="AP472" s="4355"/>
      <c r="AQ472" s="4355"/>
      <c r="AR472" s="4355"/>
      <c r="AS472" s="4355"/>
      <c r="AT472" s="4356"/>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2">
        <f t="shared" si="240"/>
        <v>0</v>
      </c>
      <c r="H473" s="4353">
        <f t="shared" si="241"/>
        <v>0</v>
      </c>
      <c r="I473" s="4354"/>
      <c r="J473" s="4354"/>
      <c r="K473" s="4354"/>
      <c r="L473" s="4354"/>
      <c r="M473" s="4354"/>
      <c r="N473" s="4354"/>
      <c r="O473" s="4354"/>
      <c r="P473" s="4354"/>
      <c r="Q473" s="4354"/>
      <c r="R473" s="4354"/>
      <c r="S473" s="4354"/>
      <c r="T473" s="4354"/>
      <c r="U473" s="4354"/>
      <c r="V473" s="4354"/>
      <c r="W473" s="4354"/>
      <c r="X473" s="4354"/>
      <c r="Y473" s="4354"/>
      <c r="Z473" s="4354"/>
      <c r="AA473" s="4354"/>
      <c r="AB473" s="4354"/>
      <c r="AC473" s="403">
        <f t="shared" si="242"/>
        <v>0</v>
      </c>
      <c r="AD473" s="4355"/>
      <c r="AE473" s="4355"/>
      <c r="AF473" s="4355"/>
      <c r="AG473" s="4355"/>
      <c r="AH473" s="4355"/>
      <c r="AI473" s="4355"/>
      <c r="AJ473" s="4355"/>
      <c r="AK473" s="4355"/>
      <c r="AL473" s="4355"/>
      <c r="AM473" s="4355"/>
      <c r="AN473" s="4355"/>
      <c r="AO473" s="4355"/>
      <c r="AP473" s="4355"/>
      <c r="AQ473" s="4355"/>
      <c r="AR473" s="4355"/>
      <c r="AS473" s="4355"/>
      <c r="AT473" s="4356"/>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2">
        <f t="shared" si="240"/>
        <v>0</v>
      </c>
      <c r="H474" s="4353">
        <f t="shared" si="241"/>
        <v>0</v>
      </c>
      <c r="I474" s="4354"/>
      <c r="J474" s="4354"/>
      <c r="K474" s="4354"/>
      <c r="L474" s="4354"/>
      <c r="M474" s="4354"/>
      <c r="N474" s="4354"/>
      <c r="O474" s="4354"/>
      <c r="P474" s="4354"/>
      <c r="Q474" s="4354"/>
      <c r="R474" s="4354"/>
      <c r="S474" s="4354"/>
      <c r="T474" s="4354"/>
      <c r="U474" s="4354"/>
      <c r="V474" s="4354"/>
      <c r="W474" s="4354"/>
      <c r="X474" s="4354"/>
      <c r="Y474" s="4354"/>
      <c r="Z474" s="4354"/>
      <c r="AA474" s="4354"/>
      <c r="AB474" s="4354"/>
      <c r="AC474" s="403">
        <f t="shared" si="242"/>
        <v>0</v>
      </c>
      <c r="AD474" s="4355"/>
      <c r="AE474" s="4355"/>
      <c r="AF474" s="4355"/>
      <c r="AG474" s="4355"/>
      <c r="AH474" s="4355"/>
      <c r="AI474" s="4355"/>
      <c r="AJ474" s="4355"/>
      <c r="AK474" s="4355"/>
      <c r="AL474" s="4355"/>
      <c r="AM474" s="4355"/>
      <c r="AN474" s="4355"/>
      <c r="AO474" s="4355"/>
      <c r="AP474" s="4355"/>
      <c r="AQ474" s="4355"/>
      <c r="AR474" s="4355"/>
      <c r="AS474" s="4355"/>
      <c r="AT474" s="4356"/>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2">
        <f t="shared" si="240"/>
        <v>0</v>
      </c>
      <c r="H475" s="4353">
        <f t="shared" si="241"/>
        <v>0</v>
      </c>
      <c r="I475" s="4354"/>
      <c r="J475" s="4354"/>
      <c r="K475" s="4354"/>
      <c r="L475" s="4354"/>
      <c r="M475" s="4354"/>
      <c r="N475" s="4354"/>
      <c r="O475" s="4354"/>
      <c r="P475" s="4354"/>
      <c r="Q475" s="4354"/>
      <c r="R475" s="4354"/>
      <c r="S475" s="4354"/>
      <c r="T475" s="4354"/>
      <c r="U475" s="4354"/>
      <c r="V475" s="4354"/>
      <c r="W475" s="4354"/>
      <c r="X475" s="4354"/>
      <c r="Y475" s="4354"/>
      <c r="Z475" s="4354"/>
      <c r="AA475" s="4354"/>
      <c r="AB475" s="4354"/>
      <c r="AC475" s="403">
        <f t="shared" si="242"/>
        <v>0</v>
      </c>
      <c r="AD475" s="4355"/>
      <c r="AE475" s="4355"/>
      <c r="AF475" s="4355"/>
      <c r="AG475" s="4355"/>
      <c r="AH475" s="4355"/>
      <c r="AI475" s="4355"/>
      <c r="AJ475" s="4355"/>
      <c r="AK475" s="4355"/>
      <c r="AL475" s="4355"/>
      <c r="AM475" s="4355"/>
      <c r="AN475" s="4355"/>
      <c r="AO475" s="4355"/>
      <c r="AP475" s="4355"/>
      <c r="AQ475" s="4355"/>
      <c r="AR475" s="4355"/>
      <c r="AS475" s="4355"/>
      <c r="AT475" s="4356"/>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2">
        <f t="shared" si="240"/>
        <v>0</v>
      </c>
      <c r="H476" s="4353">
        <f t="shared" si="241"/>
        <v>0</v>
      </c>
      <c r="I476" s="4354"/>
      <c r="J476" s="4354"/>
      <c r="K476" s="4354"/>
      <c r="L476" s="4354"/>
      <c r="M476" s="4354"/>
      <c r="N476" s="4354"/>
      <c r="O476" s="4354"/>
      <c r="P476" s="4354"/>
      <c r="Q476" s="4354"/>
      <c r="R476" s="4354"/>
      <c r="S476" s="4354"/>
      <c r="T476" s="4354"/>
      <c r="U476" s="4354"/>
      <c r="V476" s="4354"/>
      <c r="W476" s="4354"/>
      <c r="X476" s="4354"/>
      <c r="Y476" s="4354"/>
      <c r="Z476" s="4354"/>
      <c r="AA476" s="4354"/>
      <c r="AB476" s="4354"/>
      <c r="AC476" s="403">
        <f t="shared" si="242"/>
        <v>0</v>
      </c>
      <c r="AD476" s="4355"/>
      <c r="AE476" s="4355"/>
      <c r="AF476" s="4355"/>
      <c r="AG476" s="4355"/>
      <c r="AH476" s="4355"/>
      <c r="AI476" s="4355"/>
      <c r="AJ476" s="4355"/>
      <c r="AK476" s="4355"/>
      <c r="AL476" s="4355"/>
      <c r="AM476" s="4355"/>
      <c r="AN476" s="4355"/>
      <c r="AO476" s="4355"/>
      <c r="AP476" s="4355"/>
      <c r="AQ476" s="4355"/>
      <c r="AR476" s="4355"/>
      <c r="AS476" s="4355"/>
      <c r="AT476" s="4356"/>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2">
        <f t="shared" si="240"/>
        <v>0</v>
      </c>
      <c r="H477" s="4353">
        <f t="shared" si="241"/>
        <v>0</v>
      </c>
      <c r="I477" s="4354"/>
      <c r="J477" s="4354"/>
      <c r="K477" s="4354"/>
      <c r="L477" s="4354"/>
      <c r="M477" s="4354"/>
      <c r="N477" s="4354"/>
      <c r="O477" s="4354"/>
      <c r="P477" s="4354"/>
      <c r="Q477" s="4354"/>
      <c r="R477" s="4354"/>
      <c r="S477" s="4354"/>
      <c r="T477" s="4354"/>
      <c r="U477" s="4354"/>
      <c r="V477" s="4354"/>
      <c r="W477" s="4354"/>
      <c r="X477" s="4354"/>
      <c r="Y477" s="4354"/>
      <c r="Z477" s="4354"/>
      <c r="AA477" s="4354"/>
      <c r="AB477" s="4354"/>
      <c r="AC477" s="403">
        <f t="shared" si="242"/>
        <v>0</v>
      </c>
      <c r="AD477" s="4355"/>
      <c r="AE477" s="4355"/>
      <c r="AF477" s="4355"/>
      <c r="AG477" s="4355"/>
      <c r="AH477" s="4355"/>
      <c r="AI477" s="4355"/>
      <c r="AJ477" s="4355"/>
      <c r="AK477" s="4355"/>
      <c r="AL477" s="4355"/>
      <c r="AM477" s="4355"/>
      <c r="AN477" s="4355"/>
      <c r="AO477" s="4355"/>
      <c r="AP477" s="4355"/>
      <c r="AQ477" s="4355"/>
      <c r="AR477" s="4355"/>
      <c r="AS477" s="4355"/>
      <c r="AT477" s="4356"/>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2">
        <f t="shared" si="240"/>
        <v>0</v>
      </c>
      <c r="H478" s="4353">
        <f t="shared" si="241"/>
        <v>0</v>
      </c>
      <c r="I478" s="4354"/>
      <c r="J478" s="4354"/>
      <c r="K478" s="4354"/>
      <c r="L478" s="4354"/>
      <c r="M478" s="4354"/>
      <c r="N478" s="4354"/>
      <c r="O478" s="4354"/>
      <c r="P478" s="4354"/>
      <c r="Q478" s="4354"/>
      <c r="R478" s="4354"/>
      <c r="S478" s="4354"/>
      <c r="T478" s="4354"/>
      <c r="U478" s="4354"/>
      <c r="V478" s="4354"/>
      <c r="W478" s="4354"/>
      <c r="X478" s="4354"/>
      <c r="Y478" s="4354"/>
      <c r="Z478" s="4354"/>
      <c r="AA478" s="4354"/>
      <c r="AB478" s="4354"/>
      <c r="AC478" s="403">
        <f t="shared" si="242"/>
        <v>0</v>
      </c>
      <c r="AD478" s="4355"/>
      <c r="AE478" s="4355"/>
      <c r="AF478" s="4355"/>
      <c r="AG478" s="4355"/>
      <c r="AH478" s="4355"/>
      <c r="AI478" s="4355"/>
      <c r="AJ478" s="4355"/>
      <c r="AK478" s="4355"/>
      <c r="AL478" s="4355"/>
      <c r="AM478" s="4355"/>
      <c r="AN478" s="4355"/>
      <c r="AO478" s="4355"/>
      <c r="AP478" s="4355"/>
      <c r="AQ478" s="4355"/>
      <c r="AR478" s="4355"/>
      <c r="AS478" s="4355"/>
      <c r="AT478" s="4356"/>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2">
        <f t="shared" si="240"/>
        <v>0</v>
      </c>
      <c r="H479" s="4353">
        <f t="shared" si="241"/>
        <v>0</v>
      </c>
      <c r="I479" s="4354"/>
      <c r="J479" s="4354"/>
      <c r="K479" s="4354"/>
      <c r="L479" s="4354"/>
      <c r="M479" s="4354"/>
      <c r="N479" s="4354"/>
      <c r="O479" s="4354"/>
      <c r="P479" s="4354"/>
      <c r="Q479" s="4354"/>
      <c r="R479" s="4354"/>
      <c r="S479" s="4354"/>
      <c r="T479" s="4354"/>
      <c r="U479" s="4354"/>
      <c r="V479" s="4354"/>
      <c r="W479" s="4354"/>
      <c r="X479" s="4354"/>
      <c r="Y479" s="4354"/>
      <c r="Z479" s="4354"/>
      <c r="AA479" s="4354"/>
      <c r="AB479" s="4354"/>
      <c r="AC479" s="403">
        <f t="shared" si="242"/>
        <v>0</v>
      </c>
      <c r="AD479" s="4355"/>
      <c r="AE479" s="4355"/>
      <c r="AF479" s="4355"/>
      <c r="AG479" s="4355"/>
      <c r="AH479" s="4355"/>
      <c r="AI479" s="4355"/>
      <c r="AJ479" s="4355"/>
      <c r="AK479" s="4355"/>
      <c r="AL479" s="4355"/>
      <c r="AM479" s="4355"/>
      <c r="AN479" s="4355"/>
      <c r="AO479" s="4355"/>
      <c r="AP479" s="4355"/>
      <c r="AQ479" s="4355"/>
      <c r="AR479" s="4355"/>
      <c r="AS479" s="4355"/>
      <c r="AT479" s="4356"/>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2">
        <f t="shared" si="240"/>
        <v>0</v>
      </c>
      <c r="H480" s="4353">
        <f t="shared" si="241"/>
        <v>0</v>
      </c>
      <c r="I480" s="4354"/>
      <c r="J480" s="4354"/>
      <c r="K480" s="4354"/>
      <c r="L480" s="4354"/>
      <c r="M480" s="4354"/>
      <c r="N480" s="4354"/>
      <c r="O480" s="4354"/>
      <c r="P480" s="4354"/>
      <c r="Q480" s="4354"/>
      <c r="R480" s="4354"/>
      <c r="S480" s="4354"/>
      <c r="T480" s="4354"/>
      <c r="U480" s="4354"/>
      <c r="V480" s="4354"/>
      <c r="W480" s="4354"/>
      <c r="X480" s="4354"/>
      <c r="Y480" s="4354"/>
      <c r="Z480" s="4354"/>
      <c r="AA480" s="4354"/>
      <c r="AB480" s="4354"/>
      <c r="AC480" s="403">
        <f t="shared" si="242"/>
        <v>0</v>
      </c>
      <c r="AD480" s="4355"/>
      <c r="AE480" s="4355"/>
      <c r="AF480" s="4355"/>
      <c r="AG480" s="4355"/>
      <c r="AH480" s="4355"/>
      <c r="AI480" s="4355"/>
      <c r="AJ480" s="4355"/>
      <c r="AK480" s="4355"/>
      <c r="AL480" s="4355"/>
      <c r="AM480" s="4355"/>
      <c r="AN480" s="4355"/>
      <c r="AO480" s="4355"/>
      <c r="AP480" s="4355"/>
      <c r="AQ480" s="4355"/>
      <c r="AR480" s="4355"/>
      <c r="AS480" s="4355"/>
      <c r="AT480" s="4356"/>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2">
        <f t="shared" si="240"/>
        <v>0</v>
      </c>
      <c r="H481" s="4353">
        <f t="shared" si="241"/>
        <v>0</v>
      </c>
      <c r="I481" s="4354"/>
      <c r="J481" s="4354"/>
      <c r="K481" s="4354"/>
      <c r="L481" s="4354"/>
      <c r="M481" s="4354"/>
      <c r="N481" s="4354"/>
      <c r="O481" s="4354"/>
      <c r="P481" s="4354"/>
      <c r="Q481" s="4354"/>
      <c r="R481" s="4354"/>
      <c r="S481" s="4354"/>
      <c r="T481" s="4354"/>
      <c r="U481" s="4354"/>
      <c r="V481" s="4354"/>
      <c r="W481" s="4354"/>
      <c r="X481" s="4354"/>
      <c r="Y481" s="4354"/>
      <c r="Z481" s="4354"/>
      <c r="AA481" s="4354"/>
      <c r="AB481" s="4354"/>
      <c r="AC481" s="403">
        <f t="shared" si="242"/>
        <v>0</v>
      </c>
      <c r="AD481" s="4355"/>
      <c r="AE481" s="4355"/>
      <c r="AF481" s="4355"/>
      <c r="AG481" s="4355"/>
      <c r="AH481" s="4355"/>
      <c r="AI481" s="4355"/>
      <c r="AJ481" s="4355"/>
      <c r="AK481" s="4355"/>
      <c r="AL481" s="4355"/>
      <c r="AM481" s="4355"/>
      <c r="AN481" s="4355"/>
      <c r="AO481" s="4355"/>
      <c r="AP481" s="4355"/>
      <c r="AQ481" s="4355"/>
      <c r="AR481" s="4355"/>
      <c r="AS481" s="4355"/>
      <c r="AT481" s="4356"/>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2">
        <f t="shared" si="240"/>
        <v>0</v>
      </c>
      <c r="H482" s="4353">
        <f t="shared" si="241"/>
        <v>0</v>
      </c>
      <c r="I482" s="4354"/>
      <c r="J482" s="4354"/>
      <c r="K482" s="4354"/>
      <c r="L482" s="4354"/>
      <c r="M482" s="4354"/>
      <c r="N482" s="4354"/>
      <c r="O482" s="4354"/>
      <c r="P482" s="4354"/>
      <c r="Q482" s="4354"/>
      <c r="R482" s="4354"/>
      <c r="S482" s="4354"/>
      <c r="T482" s="4354"/>
      <c r="U482" s="4354"/>
      <c r="V482" s="4354"/>
      <c r="W482" s="4354"/>
      <c r="X482" s="4354"/>
      <c r="Y482" s="4354"/>
      <c r="Z482" s="4354"/>
      <c r="AA482" s="4354"/>
      <c r="AB482" s="4354"/>
      <c r="AC482" s="403">
        <f t="shared" si="242"/>
        <v>0</v>
      </c>
      <c r="AD482" s="4355"/>
      <c r="AE482" s="4355"/>
      <c r="AF482" s="4355"/>
      <c r="AG482" s="4355"/>
      <c r="AH482" s="4355"/>
      <c r="AI482" s="4355"/>
      <c r="AJ482" s="4355"/>
      <c r="AK482" s="4355"/>
      <c r="AL482" s="4355"/>
      <c r="AM482" s="4355"/>
      <c r="AN482" s="4355"/>
      <c r="AO482" s="4355"/>
      <c r="AP482" s="4355"/>
      <c r="AQ482" s="4355"/>
      <c r="AR482" s="4355"/>
      <c r="AS482" s="4355"/>
      <c r="AT482" s="4356"/>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2">
        <f t="shared" si="240"/>
        <v>0</v>
      </c>
      <c r="H483" s="4353">
        <f t="shared" si="241"/>
        <v>0</v>
      </c>
      <c r="I483" s="4354"/>
      <c r="J483" s="4354"/>
      <c r="K483" s="4354"/>
      <c r="L483" s="4354"/>
      <c r="M483" s="4354"/>
      <c r="N483" s="4354"/>
      <c r="O483" s="4354"/>
      <c r="P483" s="4354"/>
      <c r="Q483" s="4354"/>
      <c r="R483" s="4354"/>
      <c r="S483" s="4354"/>
      <c r="T483" s="4354"/>
      <c r="U483" s="4354"/>
      <c r="V483" s="4354"/>
      <c r="W483" s="4354"/>
      <c r="X483" s="4354"/>
      <c r="Y483" s="4354"/>
      <c r="Z483" s="4354"/>
      <c r="AA483" s="4354"/>
      <c r="AB483" s="4354"/>
      <c r="AC483" s="403">
        <f t="shared" si="242"/>
        <v>0</v>
      </c>
      <c r="AD483" s="4355"/>
      <c r="AE483" s="4355"/>
      <c r="AF483" s="4355"/>
      <c r="AG483" s="4355"/>
      <c r="AH483" s="4355"/>
      <c r="AI483" s="4355"/>
      <c r="AJ483" s="4355"/>
      <c r="AK483" s="4355"/>
      <c r="AL483" s="4355"/>
      <c r="AM483" s="4355"/>
      <c r="AN483" s="4355"/>
      <c r="AO483" s="4355"/>
      <c r="AP483" s="4355"/>
      <c r="AQ483" s="4355"/>
      <c r="AR483" s="4355"/>
      <c r="AS483" s="4355"/>
      <c r="AT483" s="4356"/>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2">
        <f t="shared" si="240"/>
        <v>0</v>
      </c>
      <c r="H484" s="4353">
        <f t="shared" si="241"/>
        <v>0</v>
      </c>
      <c r="I484" s="4354"/>
      <c r="J484" s="4354"/>
      <c r="K484" s="4354"/>
      <c r="L484" s="4354"/>
      <c r="M484" s="4354"/>
      <c r="N484" s="4354"/>
      <c r="O484" s="4354"/>
      <c r="P484" s="4354"/>
      <c r="Q484" s="4354"/>
      <c r="R484" s="4354"/>
      <c r="S484" s="4354"/>
      <c r="T484" s="4354"/>
      <c r="U484" s="4354"/>
      <c r="V484" s="4354"/>
      <c r="W484" s="4354"/>
      <c r="X484" s="4354"/>
      <c r="Y484" s="4354"/>
      <c r="Z484" s="4354"/>
      <c r="AA484" s="4354"/>
      <c r="AB484" s="4354"/>
      <c r="AC484" s="403">
        <f t="shared" si="242"/>
        <v>0</v>
      </c>
      <c r="AD484" s="4355"/>
      <c r="AE484" s="4355"/>
      <c r="AF484" s="4355"/>
      <c r="AG484" s="4355"/>
      <c r="AH484" s="4355"/>
      <c r="AI484" s="4355"/>
      <c r="AJ484" s="4355"/>
      <c r="AK484" s="4355"/>
      <c r="AL484" s="4355"/>
      <c r="AM484" s="4355"/>
      <c r="AN484" s="4355"/>
      <c r="AO484" s="4355"/>
      <c r="AP484" s="4355"/>
      <c r="AQ484" s="4355"/>
      <c r="AR484" s="4355"/>
      <c r="AS484" s="4355"/>
      <c r="AT484" s="4356"/>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2">
        <f t="shared" si="240"/>
        <v>0</v>
      </c>
      <c r="H485" s="4353">
        <f t="shared" si="241"/>
        <v>0</v>
      </c>
      <c r="I485" s="4354"/>
      <c r="J485" s="4354"/>
      <c r="K485" s="4354"/>
      <c r="L485" s="4354"/>
      <c r="M485" s="4354"/>
      <c r="N485" s="4354"/>
      <c r="O485" s="4354"/>
      <c r="P485" s="4354"/>
      <c r="Q485" s="4354"/>
      <c r="R485" s="4354"/>
      <c r="S485" s="4354"/>
      <c r="T485" s="4354"/>
      <c r="U485" s="4354"/>
      <c r="V485" s="4354"/>
      <c r="W485" s="4354"/>
      <c r="X485" s="4354"/>
      <c r="Y485" s="4354"/>
      <c r="Z485" s="4354"/>
      <c r="AA485" s="4354"/>
      <c r="AB485" s="4354"/>
      <c r="AC485" s="403">
        <f t="shared" si="242"/>
        <v>0</v>
      </c>
      <c r="AD485" s="4355"/>
      <c r="AE485" s="4355"/>
      <c r="AF485" s="4355"/>
      <c r="AG485" s="4355"/>
      <c r="AH485" s="4355"/>
      <c r="AI485" s="4355"/>
      <c r="AJ485" s="4355"/>
      <c r="AK485" s="4355"/>
      <c r="AL485" s="4355"/>
      <c r="AM485" s="4355"/>
      <c r="AN485" s="4355"/>
      <c r="AO485" s="4355"/>
      <c r="AP485" s="4355"/>
      <c r="AQ485" s="4355"/>
      <c r="AR485" s="4355"/>
      <c r="AS485" s="4355"/>
      <c r="AT485" s="4356"/>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2">
        <f t="shared" si="240"/>
        <v>0</v>
      </c>
      <c r="H486" s="4353">
        <f t="shared" si="241"/>
        <v>0</v>
      </c>
      <c r="I486" s="4354"/>
      <c r="J486" s="4354"/>
      <c r="K486" s="4354"/>
      <c r="L486" s="4354"/>
      <c r="M486" s="4354"/>
      <c r="N486" s="4354"/>
      <c r="O486" s="4354"/>
      <c r="P486" s="4354"/>
      <c r="Q486" s="4354"/>
      <c r="R486" s="4354"/>
      <c r="S486" s="4354"/>
      <c r="T486" s="4354"/>
      <c r="U486" s="4354"/>
      <c r="V486" s="4354"/>
      <c r="W486" s="4354"/>
      <c r="X486" s="4354"/>
      <c r="Y486" s="4354"/>
      <c r="Z486" s="4354"/>
      <c r="AA486" s="4354"/>
      <c r="AB486" s="4354"/>
      <c r="AC486" s="403">
        <f t="shared" si="242"/>
        <v>0</v>
      </c>
      <c r="AD486" s="4355"/>
      <c r="AE486" s="4355"/>
      <c r="AF486" s="4355"/>
      <c r="AG486" s="4355"/>
      <c r="AH486" s="4355"/>
      <c r="AI486" s="4355"/>
      <c r="AJ486" s="4355"/>
      <c r="AK486" s="4355"/>
      <c r="AL486" s="4355"/>
      <c r="AM486" s="4355"/>
      <c r="AN486" s="4355"/>
      <c r="AO486" s="4355"/>
      <c r="AP486" s="4355"/>
      <c r="AQ486" s="4355"/>
      <c r="AR486" s="4355"/>
      <c r="AS486" s="4355"/>
      <c r="AT486" s="4356"/>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2">
        <f t="shared" si="240"/>
        <v>0</v>
      </c>
      <c r="H487" s="4353">
        <f t="shared" si="241"/>
        <v>0</v>
      </c>
      <c r="I487" s="4354"/>
      <c r="J487" s="4354"/>
      <c r="K487" s="4354"/>
      <c r="L487" s="4354"/>
      <c r="M487" s="4354"/>
      <c r="N487" s="4354"/>
      <c r="O487" s="4354"/>
      <c r="P487" s="4354"/>
      <c r="Q487" s="4354"/>
      <c r="R487" s="4354"/>
      <c r="S487" s="4354"/>
      <c r="T487" s="4354"/>
      <c r="U487" s="4354"/>
      <c r="V487" s="4354"/>
      <c r="W487" s="4354"/>
      <c r="X487" s="4354"/>
      <c r="Y487" s="4354"/>
      <c r="Z487" s="4354"/>
      <c r="AA487" s="4354"/>
      <c r="AB487" s="4354"/>
      <c r="AC487" s="403">
        <f t="shared" si="242"/>
        <v>0</v>
      </c>
      <c r="AD487" s="4355"/>
      <c r="AE487" s="4355"/>
      <c r="AF487" s="4355"/>
      <c r="AG487" s="4355"/>
      <c r="AH487" s="4355"/>
      <c r="AI487" s="4355"/>
      <c r="AJ487" s="4355"/>
      <c r="AK487" s="4355"/>
      <c r="AL487" s="4355"/>
      <c r="AM487" s="4355"/>
      <c r="AN487" s="4355"/>
      <c r="AO487" s="4355"/>
      <c r="AP487" s="4355"/>
      <c r="AQ487" s="4355"/>
      <c r="AR487" s="4355"/>
      <c r="AS487" s="4355"/>
      <c r="AT487" s="4356"/>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2">
        <f t="shared" si="240"/>
        <v>0</v>
      </c>
      <c r="H488" s="4353">
        <f t="shared" si="241"/>
        <v>0</v>
      </c>
      <c r="I488" s="4354"/>
      <c r="J488" s="4354"/>
      <c r="K488" s="4354"/>
      <c r="L488" s="4354"/>
      <c r="M488" s="4354"/>
      <c r="N488" s="4354"/>
      <c r="O488" s="4354"/>
      <c r="P488" s="4354"/>
      <c r="Q488" s="4354"/>
      <c r="R488" s="4354"/>
      <c r="S488" s="4354"/>
      <c r="T488" s="4354"/>
      <c r="U488" s="4354"/>
      <c r="V488" s="4354"/>
      <c r="W488" s="4354"/>
      <c r="X488" s="4354"/>
      <c r="Y488" s="4354"/>
      <c r="Z488" s="4354"/>
      <c r="AA488" s="4354"/>
      <c r="AB488" s="4354"/>
      <c r="AC488" s="403">
        <f t="shared" si="242"/>
        <v>0</v>
      </c>
      <c r="AD488" s="4355"/>
      <c r="AE488" s="4355"/>
      <c r="AF488" s="4355"/>
      <c r="AG488" s="4355"/>
      <c r="AH488" s="4355"/>
      <c r="AI488" s="4355"/>
      <c r="AJ488" s="4355"/>
      <c r="AK488" s="4355"/>
      <c r="AL488" s="4355"/>
      <c r="AM488" s="4355"/>
      <c r="AN488" s="4355"/>
      <c r="AO488" s="4355"/>
      <c r="AP488" s="4355"/>
      <c r="AQ488" s="4355"/>
      <c r="AR488" s="4355"/>
      <c r="AS488" s="4355"/>
      <c r="AT488" s="4356"/>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2">
        <f t="shared" si="240"/>
        <v>0</v>
      </c>
      <c r="H489" s="4353">
        <f t="shared" si="241"/>
        <v>0</v>
      </c>
      <c r="I489" s="4354"/>
      <c r="J489" s="4354"/>
      <c r="K489" s="4354"/>
      <c r="L489" s="4354"/>
      <c r="M489" s="4354"/>
      <c r="N489" s="4354"/>
      <c r="O489" s="4354"/>
      <c r="P489" s="4354"/>
      <c r="Q489" s="4354"/>
      <c r="R489" s="4354"/>
      <c r="S489" s="4354"/>
      <c r="T489" s="4354"/>
      <c r="U489" s="4354"/>
      <c r="V489" s="4354"/>
      <c r="W489" s="4354"/>
      <c r="X489" s="4354"/>
      <c r="Y489" s="4354"/>
      <c r="Z489" s="4354"/>
      <c r="AA489" s="4354"/>
      <c r="AB489" s="4354"/>
      <c r="AC489" s="403">
        <f t="shared" si="242"/>
        <v>0</v>
      </c>
      <c r="AD489" s="4355"/>
      <c r="AE489" s="4355"/>
      <c r="AF489" s="4355"/>
      <c r="AG489" s="4355"/>
      <c r="AH489" s="4355"/>
      <c r="AI489" s="4355"/>
      <c r="AJ489" s="4355"/>
      <c r="AK489" s="4355"/>
      <c r="AL489" s="4355"/>
      <c r="AM489" s="4355"/>
      <c r="AN489" s="4355"/>
      <c r="AO489" s="4355"/>
      <c r="AP489" s="4355"/>
      <c r="AQ489" s="4355"/>
      <c r="AR489" s="4355"/>
      <c r="AS489" s="4355"/>
      <c r="AT489" s="4356"/>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2">
        <f t="shared" ref="G490:G521" si="268">H490+AC490+AT490</f>
        <v>0</v>
      </c>
      <c r="H490" s="4353">
        <f t="shared" ref="H490:H521" si="269">SUMIF(I$12:AB$12,"总值",I490:AB490)</f>
        <v>0</v>
      </c>
      <c r="I490" s="4354"/>
      <c r="J490" s="4354"/>
      <c r="K490" s="4354"/>
      <c r="L490" s="4354"/>
      <c r="M490" s="4354"/>
      <c r="N490" s="4354"/>
      <c r="O490" s="4354"/>
      <c r="P490" s="4354"/>
      <c r="Q490" s="4354"/>
      <c r="R490" s="4354"/>
      <c r="S490" s="4354"/>
      <c r="T490" s="4354"/>
      <c r="U490" s="4354"/>
      <c r="V490" s="4354"/>
      <c r="W490" s="4354"/>
      <c r="X490" s="4354"/>
      <c r="Y490" s="4354"/>
      <c r="Z490" s="4354"/>
      <c r="AA490" s="4354"/>
      <c r="AB490" s="4354"/>
      <c r="AC490" s="403">
        <f t="shared" ref="AC490:AC521" si="270">SUMIF(AD$12:AS$12,"总值",AD490:AS490)</f>
        <v>0</v>
      </c>
      <c r="AD490" s="4355"/>
      <c r="AE490" s="4355"/>
      <c r="AF490" s="4355"/>
      <c r="AG490" s="4355"/>
      <c r="AH490" s="4355"/>
      <c r="AI490" s="4355"/>
      <c r="AJ490" s="4355"/>
      <c r="AK490" s="4355"/>
      <c r="AL490" s="4355"/>
      <c r="AM490" s="4355"/>
      <c r="AN490" s="4355"/>
      <c r="AO490" s="4355"/>
      <c r="AP490" s="4355"/>
      <c r="AQ490" s="4355"/>
      <c r="AR490" s="4355"/>
      <c r="AS490" s="4355"/>
      <c r="AT490" s="4355"/>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2">
        <f t="shared" si="268"/>
        <v>0</v>
      </c>
      <c r="H491" s="4353">
        <f t="shared" si="269"/>
        <v>0</v>
      </c>
      <c r="I491" s="4354"/>
      <c r="J491" s="4354"/>
      <c r="K491" s="4354"/>
      <c r="L491" s="4354"/>
      <c r="M491" s="4354"/>
      <c r="N491" s="4354"/>
      <c r="O491" s="4354"/>
      <c r="P491" s="4354"/>
      <c r="Q491" s="4354"/>
      <c r="R491" s="4354"/>
      <c r="S491" s="4354"/>
      <c r="T491" s="4354"/>
      <c r="U491" s="4354"/>
      <c r="V491" s="4354"/>
      <c r="W491" s="4354"/>
      <c r="X491" s="4354"/>
      <c r="Y491" s="4354"/>
      <c r="Z491" s="4354"/>
      <c r="AA491" s="4354"/>
      <c r="AB491" s="4354"/>
      <c r="AC491" s="403">
        <f t="shared" si="270"/>
        <v>0</v>
      </c>
      <c r="AD491" s="4355"/>
      <c r="AE491" s="4355"/>
      <c r="AF491" s="4355"/>
      <c r="AG491" s="4355"/>
      <c r="AH491" s="4355"/>
      <c r="AI491" s="4355"/>
      <c r="AJ491" s="4355"/>
      <c r="AK491" s="4355"/>
      <c r="AL491" s="4355"/>
      <c r="AM491" s="4355"/>
      <c r="AN491" s="4355"/>
      <c r="AO491" s="4355"/>
      <c r="AP491" s="4355"/>
      <c r="AQ491" s="4355"/>
      <c r="AR491" s="4355"/>
      <c r="AS491" s="4355"/>
      <c r="AT491" s="4355"/>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2">
        <f t="shared" si="268"/>
        <v>0</v>
      </c>
      <c r="H492" s="4353">
        <f t="shared" si="269"/>
        <v>0</v>
      </c>
      <c r="I492" s="4354"/>
      <c r="J492" s="4354"/>
      <c r="K492" s="4354"/>
      <c r="L492" s="4354"/>
      <c r="M492" s="4354"/>
      <c r="N492" s="4354"/>
      <c r="O492" s="4354"/>
      <c r="P492" s="4354"/>
      <c r="Q492" s="4354"/>
      <c r="R492" s="4354"/>
      <c r="S492" s="4354"/>
      <c r="T492" s="4354"/>
      <c r="U492" s="4354"/>
      <c r="V492" s="4354"/>
      <c r="W492" s="4354"/>
      <c r="X492" s="4354"/>
      <c r="Y492" s="4354"/>
      <c r="Z492" s="4354"/>
      <c r="AA492" s="4354"/>
      <c r="AB492" s="4354"/>
      <c r="AC492" s="403">
        <f t="shared" si="270"/>
        <v>0</v>
      </c>
      <c r="AD492" s="4355"/>
      <c r="AE492" s="4355"/>
      <c r="AF492" s="4355"/>
      <c r="AG492" s="4355"/>
      <c r="AH492" s="4355"/>
      <c r="AI492" s="4355"/>
      <c r="AJ492" s="4355"/>
      <c r="AK492" s="4355"/>
      <c r="AL492" s="4355"/>
      <c r="AM492" s="4355"/>
      <c r="AN492" s="4355"/>
      <c r="AO492" s="4355"/>
      <c r="AP492" s="4355"/>
      <c r="AQ492" s="4355"/>
      <c r="AR492" s="4355"/>
      <c r="AS492" s="4355"/>
      <c r="AT492" s="4355"/>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2">
        <f t="shared" si="268"/>
        <v>0</v>
      </c>
      <c r="H493" s="4353">
        <f t="shared" si="269"/>
        <v>0</v>
      </c>
      <c r="I493" s="4354"/>
      <c r="J493" s="4354"/>
      <c r="K493" s="4354"/>
      <c r="L493" s="4354"/>
      <c r="M493" s="4354"/>
      <c r="N493" s="4354"/>
      <c r="O493" s="4354"/>
      <c r="P493" s="4354"/>
      <c r="Q493" s="4354"/>
      <c r="R493" s="4354"/>
      <c r="S493" s="4354"/>
      <c r="T493" s="4354"/>
      <c r="U493" s="4354"/>
      <c r="V493" s="4354"/>
      <c r="W493" s="4354"/>
      <c r="X493" s="4354"/>
      <c r="Y493" s="4354"/>
      <c r="Z493" s="4354"/>
      <c r="AA493" s="4354"/>
      <c r="AB493" s="4354"/>
      <c r="AC493" s="403">
        <f t="shared" si="270"/>
        <v>0</v>
      </c>
      <c r="AD493" s="4355"/>
      <c r="AE493" s="4355"/>
      <c r="AF493" s="4355"/>
      <c r="AG493" s="4355"/>
      <c r="AH493" s="4355"/>
      <c r="AI493" s="4355"/>
      <c r="AJ493" s="4355"/>
      <c r="AK493" s="4355"/>
      <c r="AL493" s="4355"/>
      <c r="AM493" s="4355"/>
      <c r="AN493" s="4355"/>
      <c r="AO493" s="4355"/>
      <c r="AP493" s="4355"/>
      <c r="AQ493" s="4355"/>
      <c r="AR493" s="4355"/>
      <c r="AS493" s="4355"/>
      <c r="AT493" s="4356"/>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2">
        <f t="shared" si="268"/>
        <v>0</v>
      </c>
      <c r="H494" s="4353">
        <f t="shared" si="269"/>
        <v>0</v>
      </c>
      <c r="I494" s="4354"/>
      <c r="J494" s="4354"/>
      <c r="K494" s="4354"/>
      <c r="L494" s="4354"/>
      <c r="M494" s="4354"/>
      <c r="N494" s="4354"/>
      <c r="O494" s="4354"/>
      <c r="P494" s="4354"/>
      <c r="Q494" s="4354"/>
      <c r="R494" s="4354"/>
      <c r="S494" s="4354"/>
      <c r="T494" s="4354"/>
      <c r="U494" s="4354"/>
      <c r="V494" s="4354"/>
      <c r="W494" s="4354"/>
      <c r="X494" s="4354"/>
      <c r="Y494" s="4354"/>
      <c r="Z494" s="4354"/>
      <c r="AA494" s="4354"/>
      <c r="AB494" s="4354"/>
      <c r="AC494" s="403">
        <f t="shared" si="270"/>
        <v>0</v>
      </c>
      <c r="AD494" s="4355"/>
      <c r="AE494" s="4355"/>
      <c r="AF494" s="4355"/>
      <c r="AG494" s="4355"/>
      <c r="AH494" s="4355"/>
      <c r="AI494" s="4355"/>
      <c r="AJ494" s="4355"/>
      <c r="AK494" s="4355"/>
      <c r="AL494" s="4355"/>
      <c r="AM494" s="4355"/>
      <c r="AN494" s="4355"/>
      <c r="AO494" s="4355"/>
      <c r="AP494" s="4355"/>
      <c r="AQ494" s="4355"/>
      <c r="AR494" s="4355"/>
      <c r="AS494" s="4355"/>
      <c r="AT494" s="4356"/>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2">
        <f t="shared" si="268"/>
        <v>0</v>
      </c>
      <c r="H495" s="4353">
        <f t="shared" si="269"/>
        <v>0</v>
      </c>
      <c r="I495" s="4354"/>
      <c r="J495" s="4354"/>
      <c r="K495" s="4354"/>
      <c r="L495" s="4354"/>
      <c r="M495" s="4354"/>
      <c r="N495" s="4354"/>
      <c r="O495" s="4354"/>
      <c r="P495" s="4354"/>
      <c r="Q495" s="4354"/>
      <c r="R495" s="4354"/>
      <c r="S495" s="4354"/>
      <c r="T495" s="4354"/>
      <c r="U495" s="4354"/>
      <c r="V495" s="4354"/>
      <c r="W495" s="4354"/>
      <c r="X495" s="4354"/>
      <c r="Y495" s="4354"/>
      <c r="Z495" s="4354"/>
      <c r="AA495" s="4354"/>
      <c r="AB495" s="4354"/>
      <c r="AC495" s="403">
        <f t="shared" si="270"/>
        <v>0</v>
      </c>
      <c r="AD495" s="4355"/>
      <c r="AE495" s="4355"/>
      <c r="AF495" s="4355"/>
      <c r="AG495" s="4355"/>
      <c r="AH495" s="4355"/>
      <c r="AI495" s="4355"/>
      <c r="AJ495" s="4355"/>
      <c r="AK495" s="4355"/>
      <c r="AL495" s="4355"/>
      <c r="AM495" s="4355"/>
      <c r="AN495" s="4355"/>
      <c r="AO495" s="4355"/>
      <c r="AP495" s="4355"/>
      <c r="AQ495" s="4355"/>
      <c r="AR495" s="4355"/>
      <c r="AS495" s="4355"/>
      <c r="AT495" s="4356"/>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2">
        <f t="shared" si="268"/>
        <v>0</v>
      </c>
      <c r="H496" s="4353">
        <f t="shared" si="269"/>
        <v>0</v>
      </c>
      <c r="I496" s="4354"/>
      <c r="J496" s="4354"/>
      <c r="K496" s="4354"/>
      <c r="L496" s="4354"/>
      <c r="M496" s="4354"/>
      <c r="N496" s="4354"/>
      <c r="O496" s="4354"/>
      <c r="P496" s="4354"/>
      <c r="Q496" s="4354"/>
      <c r="R496" s="4354"/>
      <c r="S496" s="4354"/>
      <c r="T496" s="4354"/>
      <c r="U496" s="4354"/>
      <c r="V496" s="4354"/>
      <c r="W496" s="4354"/>
      <c r="X496" s="4354"/>
      <c r="Y496" s="4354"/>
      <c r="Z496" s="4354"/>
      <c r="AA496" s="4354"/>
      <c r="AB496" s="4354"/>
      <c r="AC496" s="403">
        <f t="shared" si="270"/>
        <v>0</v>
      </c>
      <c r="AD496" s="4355"/>
      <c r="AE496" s="4355"/>
      <c r="AF496" s="4355"/>
      <c r="AG496" s="4355"/>
      <c r="AH496" s="4355"/>
      <c r="AI496" s="4355"/>
      <c r="AJ496" s="4355"/>
      <c r="AK496" s="4355"/>
      <c r="AL496" s="4355"/>
      <c r="AM496" s="4355"/>
      <c r="AN496" s="4355"/>
      <c r="AO496" s="4355"/>
      <c r="AP496" s="4355"/>
      <c r="AQ496" s="4355"/>
      <c r="AR496" s="4355"/>
      <c r="AS496" s="4355"/>
      <c r="AT496" s="4356"/>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2">
        <f t="shared" si="268"/>
        <v>0</v>
      </c>
      <c r="H497" s="4353">
        <f t="shared" si="269"/>
        <v>0</v>
      </c>
      <c r="I497" s="4354"/>
      <c r="J497" s="4354"/>
      <c r="K497" s="4354"/>
      <c r="L497" s="4354"/>
      <c r="M497" s="4354"/>
      <c r="N497" s="4354"/>
      <c r="O497" s="4354"/>
      <c r="P497" s="4354"/>
      <c r="Q497" s="4354"/>
      <c r="R497" s="4354"/>
      <c r="S497" s="4354"/>
      <c r="T497" s="4354"/>
      <c r="U497" s="4354"/>
      <c r="V497" s="4354"/>
      <c r="W497" s="4354"/>
      <c r="X497" s="4354"/>
      <c r="Y497" s="4354"/>
      <c r="Z497" s="4354"/>
      <c r="AA497" s="4354"/>
      <c r="AB497" s="4354"/>
      <c r="AC497" s="403">
        <f t="shared" si="270"/>
        <v>0</v>
      </c>
      <c r="AD497" s="4355"/>
      <c r="AE497" s="4355"/>
      <c r="AF497" s="4355"/>
      <c r="AG497" s="4355"/>
      <c r="AH497" s="4355"/>
      <c r="AI497" s="4355"/>
      <c r="AJ497" s="4355"/>
      <c r="AK497" s="4355"/>
      <c r="AL497" s="4355"/>
      <c r="AM497" s="4355"/>
      <c r="AN497" s="4355"/>
      <c r="AO497" s="4355"/>
      <c r="AP497" s="4355"/>
      <c r="AQ497" s="4355"/>
      <c r="AR497" s="4355"/>
      <c r="AS497" s="4355"/>
      <c r="AT497" s="4356"/>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2">
        <f t="shared" si="268"/>
        <v>0</v>
      </c>
      <c r="H498" s="4353">
        <f t="shared" si="269"/>
        <v>0</v>
      </c>
      <c r="I498" s="4354"/>
      <c r="J498" s="4354"/>
      <c r="K498" s="4354"/>
      <c r="L498" s="4354"/>
      <c r="M498" s="4354"/>
      <c r="N498" s="4354"/>
      <c r="O498" s="4354"/>
      <c r="P498" s="4354"/>
      <c r="Q498" s="4354"/>
      <c r="R498" s="4354"/>
      <c r="S498" s="4354"/>
      <c r="T498" s="4354"/>
      <c r="U498" s="4354"/>
      <c r="V498" s="4354"/>
      <c r="W498" s="4354"/>
      <c r="X498" s="4354"/>
      <c r="Y498" s="4354"/>
      <c r="Z498" s="4354"/>
      <c r="AA498" s="4354"/>
      <c r="AB498" s="4354"/>
      <c r="AC498" s="403">
        <f t="shared" si="270"/>
        <v>0</v>
      </c>
      <c r="AD498" s="4355"/>
      <c r="AE498" s="4355"/>
      <c r="AF498" s="4355"/>
      <c r="AG498" s="4355"/>
      <c r="AH498" s="4355"/>
      <c r="AI498" s="4355"/>
      <c r="AJ498" s="4355"/>
      <c r="AK498" s="4355"/>
      <c r="AL498" s="4355"/>
      <c r="AM498" s="4355"/>
      <c r="AN498" s="4355"/>
      <c r="AO498" s="4355"/>
      <c r="AP498" s="4355"/>
      <c r="AQ498" s="4355"/>
      <c r="AR498" s="4355"/>
      <c r="AS498" s="4355"/>
      <c r="AT498" s="4356"/>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2">
        <f t="shared" si="268"/>
        <v>0</v>
      </c>
      <c r="H499" s="4353">
        <f t="shared" si="269"/>
        <v>0</v>
      </c>
      <c r="I499" s="4354"/>
      <c r="J499" s="4354"/>
      <c r="K499" s="4354"/>
      <c r="L499" s="4354"/>
      <c r="M499" s="4354"/>
      <c r="N499" s="4354"/>
      <c r="O499" s="4354"/>
      <c r="P499" s="4354"/>
      <c r="Q499" s="4354"/>
      <c r="R499" s="4354"/>
      <c r="S499" s="4354"/>
      <c r="T499" s="4354"/>
      <c r="U499" s="4354"/>
      <c r="V499" s="4354"/>
      <c r="W499" s="4354"/>
      <c r="X499" s="4354"/>
      <c r="Y499" s="4354"/>
      <c r="Z499" s="4354"/>
      <c r="AA499" s="4354"/>
      <c r="AB499" s="4354"/>
      <c r="AC499" s="403">
        <f t="shared" si="270"/>
        <v>0</v>
      </c>
      <c r="AD499" s="4355"/>
      <c r="AE499" s="4355"/>
      <c r="AF499" s="4355"/>
      <c r="AG499" s="4355"/>
      <c r="AH499" s="4355"/>
      <c r="AI499" s="4355"/>
      <c r="AJ499" s="4355"/>
      <c r="AK499" s="4355"/>
      <c r="AL499" s="4355"/>
      <c r="AM499" s="4355"/>
      <c r="AN499" s="4355"/>
      <c r="AO499" s="4355"/>
      <c r="AP499" s="4355"/>
      <c r="AQ499" s="4355"/>
      <c r="AR499" s="4355"/>
      <c r="AS499" s="4355"/>
      <c r="AT499" s="4356"/>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2">
        <f t="shared" si="268"/>
        <v>0</v>
      </c>
      <c r="H500" s="4353">
        <f t="shared" si="269"/>
        <v>0</v>
      </c>
      <c r="I500" s="4354"/>
      <c r="J500" s="4354"/>
      <c r="K500" s="4354"/>
      <c r="L500" s="4354"/>
      <c r="M500" s="4354"/>
      <c r="N500" s="4354"/>
      <c r="O500" s="4354"/>
      <c r="P500" s="4354"/>
      <c r="Q500" s="4354"/>
      <c r="R500" s="4354"/>
      <c r="S500" s="4354"/>
      <c r="T500" s="4354"/>
      <c r="U500" s="4354"/>
      <c r="V500" s="4354"/>
      <c r="W500" s="4354"/>
      <c r="X500" s="4354"/>
      <c r="Y500" s="4354"/>
      <c r="Z500" s="4354"/>
      <c r="AA500" s="4354"/>
      <c r="AB500" s="4354"/>
      <c r="AC500" s="403">
        <f t="shared" si="270"/>
        <v>0</v>
      </c>
      <c r="AD500" s="4355"/>
      <c r="AE500" s="4355"/>
      <c r="AF500" s="4355"/>
      <c r="AG500" s="4355"/>
      <c r="AH500" s="4355"/>
      <c r="AI500" s="4355"/>
      <c r="AJ500" s="4355"/>
      <c r="AK500" s="4355"/>
      <c r="AL500" s="4355"/>
      <c r="AM500" s="4355"/>
      <c r="AN500" s="4355"/>
      <c r="AO500" s="4355"/>
      <c r="AP500" s="4355"/>
      <c r="AQ500" s="4355"/>
      <c r="AR500" s="4355"/>
      <c r="AS500" s="4355"/>
      <c r="AT500" s="4356"/>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2">
        <f t="shared" si="268"/>
        <v>0</v>
      </c>
      <c r="H501" s="4353">
        <f t="shared" si="269"/>
        <v>0</v>
      </c>
      <c r="I501" s="4354"/>
      <c r="J501" s="4354"/>
      <c r="K501" s="4354"/>
      <c r="L501" s="4354"/>
      <c r="M501" s="4354"/>
      <c r="N501" s="4354"/>
      <c r="O501" s="4354"/>
      <c r="P501" s="4354"/>
      <c r="Q501" s="4354"/>
      <c r="R501" s="4354"/>
      <c r="S501" s="4354"/>
      <c r="T501" s="4354"/>
      <c r="U501" s="4354"/>
      <c r="V501" s="4354"/>
      <c r="W501" s="4354"/>
      <c r="X501" s="4354"/>
      <c r="Y501" s="4354"/>
      <c r="Z501" s="4354"/>
      <c r="AA501" s="4354"/>
      <c r="AB501" s="4354"/>
      <c r="AC501" s="403">
        <f t="shared" si="270"/>
        <v>0</v>
      </c>
      <c r="AD501" s="4355"/>
      <c r="AE501" s="4355"/>
      <c r="AF501" s="4355"/>
      <c r="AG501" s="4355"/>
      <c r="AH501" s="4355"/>
      <c r="AI501" s="4355"/>
      <c r="AJ501" s="4355"/>
      <c r="AK501" s="4355"/>
      <c r="AL501" s="4355"/>
      <c r="AM501" s="4355"/>
      <c r="AN501" s="4355"/>
      <c r="AO501" s="4355"/>
      <c r="AP501" s="4355"/>
      <c r="AQ501" s="4355"/>
      <c r="AR501" s="4355"/>
      <c r="AS501" s="4355"/>
      <c r="AT501" s="4356"/>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2">
        <f t="shared" si="268"/>
        <v>0</v>
      </c>
      <c r="H502" s="4353">
        <f t="shared" si="269"/>
        <v>0</v>
      </c>
      <c r="I502" s="4354"/>
      <c r="J502" s="4354"/>
      <c r="K502" s="4354"/>
      <c r="L502" s="4354"/>
      <c r="M502" s="4354"/>
      <c r="N502" s="4354"/>
      <c r="O502" s="4354"/>
      <c r="P502" s="4354"/>
      <c r="Q502" s="4354"/>
      <c r="R502" s="4354"/>
      <c r="S502" s="4354"/>
      <c r="T502" s="4354"/>
      <c r="U502" s="4354"/>
      <c r="V502" s="4354"/>
      <c r="W502" s="4354"/>
      <c r="X502" s="4354"/>
      <c r="Y502" s="4354"/>
      <c r="Z502" s="4354"/>
      <c r="AA502" s="4354"/>
      <c r="AB502" s="4354"/>
      <c r="AC502" s="403">
        <f t="shared" si="270"/>
        <v>0</v>
      </c>
      <c r="AD502" s="4355"/>
      <c r="AE502" s="4355"/>
      <c r="AF502" s="4355"/>
      <c r="AG502" s="4355"/>
      <c r="AH502" s="4355"/>
      <c r="AI502" s="4355"/>
      <c r="AJ502" s="4355"/>
      <c r="AK502" s="4355"/>
      <c r="AL502" s="4355"/>
      <c r="AM502" s="4355"/>
      <c r="AN502" s="4355"/>
      <c r="AO502" s="4355"/>
      <c r="AP502" s="4355"/>
      <c r="AQ502" s="4355"/>
      <c r="AR502" s="4355"/>
      <c r="AS502" s="4355"/>
      <c r="AT502" s="4356"/>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2">
        <f t="shared" si="268"/>
        <v>0</v>
      </c>
      <c r="H503" s="4353">
        <f t="shared" si="269"/>
        <v>0</v>
      </c>
      <c r="I503" s="4354"/>
      <c r="J503" s="4354"/>
      <c r="K503" s="4354"/>
      <c r="L503" s="4354"/>
      <c r="M503" s="4354"/>
      <c r="N503" s="4354"/>
      <c r="O503" s="4354"/>
      <c r="P503" s="4354"/>
      <c r="Q503" s="4354"/>
      <c r="R503" s="4354"/>
      <c r="S503" s="4354"/>
      <c r="T503" s="4354"/>
      <c r="U503" s="4354"/>
      <c r="V503" s="4354"/>
      <c r="W503" s="4354"/>
      <c r="X503" s="4354"/>
      <c r="Y503" s="4354"/>
      <c r="Z503" s="4354"/>
      <c r="AA503" s="4354"/>
      <c r="AB503" s="4354"/>
      <c r="AC503" s="403">
        <f t="shared" si="270"/>
        <v>0</v>
      </c>
      <c r="AD503" s="4355"/>
      <c r="AE503" s="4355"/>
      <c r="AF503" s="4355"/>
      <c r="AG503" s="4355"/>
      <c r="AH503" s="4355"/>
      <c r="AI503" s="4355"/>
      <c r="AJ503" s="4355"/>
      <c r="AK503" s="4355"/>
      <c r="AL503" s="4355"/>
      <c r="AM503" s="4355"/>
      <c r="AN503" s="4355"/>
      <c r="AO503" s="4355"/>
      <c r="AP503" s="4355"/>
      <c r="AQ503" s="4355"/>
      <c r="AR503" s="4355"/>
      <c r="AS503" s="4355"/>
      <c r="AT503" s="4356"/>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2">
        <f t="shared" si="268"/>
        <v>0</v>
      </c>
      <c r="H504" s="4353">
        <f t="shared" si="269"/>
        <v>0</v>
      </c>
      <c r="I504" s="4354"/>
      <c r="J504" s="4354"/>
      <c r="K504" s="4354"/>
      <c r="L504" s="4354"/>
      <c r="M504" s="4354"/>
      <c r="N504" s="4354"/>
      <c r="O504" s="4354"/>
      <c r="P504" s="4354"/>
      <c r="Q504" s="4354"/>
      <c r="R504" s="4354"/>
      <c r="S504" s="4354"/>
      <c r="T504" s="4354"/>
      <c r="U504" s="4354"/>
      <c r="V504" s="4354"/>
      <c r="W504" s="4354"/>
      <c r="X504" s="4354"/>
      <c r="Y504" s="4354"/>
      <c r="Z504" s="4354"/>
      <c r="AA504" s="4354"/>
      <c r="AB504" s="4354"/>
      <c r="AC504" s="403">
        <f t="shared" si="270"/>
        <v>0</v>
      </c>
      <c r="AD504" s="4355"/>
      <c r="AE504" s="4355"/>
      <c r="AF504" s="4355"/>
      <c r="AG504" s="4355"/>
      <c r="AH504" s="4355"/>
      <c r="AI504" s="4355"/>
      <c r="AJ504" s="4355"/>
      <c r="AK504" s="4355"/>
      <c r="AL504" s="4355"/>
      <c r="AM504" s="4355"/>
      <c r="AN504" s="4355"/>
      <c r="AO504" s="4355"/>
      <c r="AP504" s="4355"/>
      <c r="AQ504" s="4355"/>
      <c r="AR504" s="4355"/>
      <c r="AS504" s="4355"/>
      <c r="AT504" s="4356"/>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2">
        <f t="shared" si="268"/>
        <v>0</v>
      </c>
      <c r="H505" s="4353">
        <f t="shared" si="269"/>
        <v>0</v>
      </c>
      <c r="I505" s="4354"/>
      <c r="J505" s="4354"/>
      <c r="K505" s="4354"/>
      <c r="L505" s="4354"/>
      <c r="M505" s="4354"/>
      <c r="N505" s="4354"/>
      <c r="O505" s="4354"/>
      <c r="P505" s="4354"/>
      <c r="Q505" s="4354"/>
      <c r="R505" s="4354"/>
      <c r="S505" s="4354"/>
      <c r="T505" s="4354"/>
      <c r="U505" s="4354"/>
      <c r="V505" s="4354"/>
      <c r="W505" s="4354"/>
      <c r="X505" s="4354"/>
      <c r="Y505" s="4354"/>
      <c r="Z505" s="4354"/>
      <c r="AA505" s="4354"/>
      <c r="AB505" s="4354"/>
      <c r="AC505" s="403">
        <f t="shared" si="270"/>
        <v>0</v>
      </c>
      <c r="AD505" s="4355"/>
      <c r="AE505" s="4355"/>
      <c r="AF505" s="4355"/>
      <c r="AG505" s="4355"/>
      <c r="AH505" s="4355"/>
      <c r="AI505" s="4355"/>
      <c r="AJ505" s="4355"/>
      <c r="AK505" s="4355"/>
      <c r="AL505" s="4355"/>
      <c r="AM505" s="4355"/>
      <c r="AN505" s="4355"/>
      <c r="AO505" s="4355"/>
      <c r="AP505" s="4355"/>
      <c r="AQ505" s="4355"/>
      <c r="AR505" s="4355"/>
      <c r="AS505" s="4355"/>
      <c r="AT505" s="4356"/>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2">
        <f t="shared" si="268"/>
        <v>0</v>
      </c>
      <c r="H506" s="4353">
        <f t="shared" si="269"/>
        <v>0</v>
      </c>
      <c r="I506" s="4354"/>
      <c r="J506" s="4354"/>
      <c r="K506" s="4354"/>
      <c r="L506" s="4354"/>
      <c r="M506" s="4354"/>
      <c r="N506" s="4354"/>
      <c r="O506" s="4354"/>
      <c r="P506" s="4354"/>
      <c r="Q506" s="4354"/>
      <c r="R506" s="4354"/>
      <c r="S506" s="4354"/>
      <c r="T506" s="4354"/>
      <c r="U506" s="4354"/>
      <c r="V506" s="4354"/>
      <c r="W506" s="4354"/>
      <c r="X506" s="4354"/>
      <c r="Y506" s="4354"/>
      <c r="Z506" s="4354"/>
      <c r="AA506" s="4354"/>
      <c r="AB506" s="4354"/>
      <c r="AC506" s="403">
        <f t="shared" si="270"/>
        <v>0</v>
      </c>
      <c r="AD506" s="4355"/>
      <c r="AE506" s="4355"/>
      <c r="AF506" s="4355"/>
      <c r="AG506" s="4355"/>
      <c r="AH506" s="4355"/>
      <c r="AI506" s="4355"/>
      <c r="AJ506" s="4355"/>
      <c r="AK506" s="4355"/>
      <c r="AL506" s="4355"/>
      <c r="AM506" s="4355"/>
      <c r="AN506" s="4355"/>
      <c r="AO506" s="4355"/>
      <c r="AP506" s="4355"/>
      <c r="AQ506" s="4355"/>
      <c r="AR506" s="4355"/>
      <c r="AS506" s="4355"/>
      <c r="AT506" s="4356"/>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2">
        <f t="shared" si="268"/>
        <v>0</v>
      </c>
      <c r="H507" s="4353">
        <f t="shared" si="269"/>
        <v>0</v>
      </c>
      <c r="I507" s="4354"/>
      <c r="J507" s="4354"/>
      <c r="K507" s="4354"/>
      <c r="L507" s="4354"/>
      <c r="M507" s="4354"/>
      <c r="N507" s="4354"/>
      <c r="O507" s="4354"/>
      <c r="P507" s="4354"/>
      <c r="Q507" s="4354"/>
      <c r="R507" s="4354"/>
      <c r="S507" s="4354"/>
      <c r="T507" s="4354"/>
      <c r="U507" s="4354"/>
      <c r="V507" s="4354"/>
      <c r="W507" s="4354"/>
      <c r="X507" s="4354"/>
      <c r="Y507" s="4354"/>
      <c r="Z507" s="4354"/>
      <c r="AA507" s="4354"/>
      <c r="AB507" s="4354"/>
      <c r="AC507" s="403">
        <f t="shared" si="270"/>
        <v>0</v>
      </c>
      <c r="AD507" s="4355"/>
      <c r="AE507" s="4355"/>
      <c r="AF507" s="4355"/>
      <c r="AG507" s="4355"/>
      <c r="AH507" s="4355"/>
      <c r="AI507" s="4355"/>
      <c r="AJ507" s="4355"/>
      <c r="AK507" s="4355"/>
      <c r="AL507" s="4355"/>
      <c r="AM507" s="4355"/>
      <c r="AN507" s="4355"/>
      <c r="AO507" s="4355"/>
      <c r="AP507" s="4355"/>
      <c r="AQ507" s="4355"/>
      <c r="AR507" s="4355"/>
      <c r="AS507" s="4355"/>
      <c r="AT507" s="4356"/>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2">
        <f t="shared" si="268"/>
        <v>0</v>
      </c>
      <c r="H508" s="4353">
        <f t="shared" si="269"/>
        <v>0</v>
      </c>
      <c r="I508" s="4354"/>
      <c r="J508" s="4354"/>
      <c r="K508" s="4354"/>
      <c r="L508" s="4354"/>
      <c r="M508" s="4354"/>
      <c r="N508" s="4354"/>
      <c r="O508" s="4354"/>
      <c r="P508" s="4354"/>
      <c r="Q508" s="4354"/>
      <c r="R508" s="4354"/>
      <c r="S508" s="4354"/>
      <c r="T508" s="4354"/>
      <c r="U508" s="4354"/>
      <c r="V508" s="4354"/>
      <c r="W508" s="4354"/>
      <c r="X508" s="4354"/>
      <c r="Y508" s="4354"/>
      <c r="Z508" s="4354"/>
      <c r="AA508" s="4354"/>
      <c r="AB508" s="4354"/>
      <c r="AC508" s="403">
        <f t="shared" si="270"/>
        <v>0</v>
      </c>
      <c r="AD508" s="4355"/>
      <c r="AE508" s="4355"/>
      <c r="AF508" s="4355"/>
      <c r="AG508" s="4355"/>
      <c r="AH508" s="4355"/>
      <c r="AI508" s="4355"/>
      <c r="AJ508" s="4355"/>
      <c r="AK508" s="4355"/>
      <c r="AL508" s="4355"/>
      <c r="AM508" s="4355"/>
      <c r="AN508" s="4355"/>
      <c r="AO508" s="4355"/>
      <c r="AP508" s="4355"/>
      <c r="AQ508" s="4355"/>
      <c r="AR508" s="4355"/>
      <c r="AS508" s="4355"/>
      <c r="AT508" s="4356"/>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2">
        <f t="shared" si="268"/>
        <v>0</v>
      </c>
      <c r="H509" s="4353">
        <f t="shared" si="269"/>
        <v>0</v>
      </c>
      <c r="I509" s="4354"/>
      <c r="J509" s="4354"/>
      <c r="K509" s="4354"/>
      <c r="L509" s="4354"/>
      <c r="M509" s="4354"/>
      <c r="N509" s="4354"/>
      <c r="O509" s="4354"/>
      <c r="P509" s="4354"/>
      <c r="Q509" s="4354"/>
      <c r="R509" s="4354"/>
      <c r="S509" s="4354"/>
      <c r="T509" s="4354"/>
      <c r="U509" s="4354"/>
      <c r="V509" s="4354"/>
      <c r="W509" s="4354"/>
      <c r="X509" s="4354"/>
      <c r="Y509" s="4354"/>
      <c r="Z509" s="4354"/>
      <c r="AA509" s="4354"/>
      <c r="AB509" s="4354"/>
      <c r="AC509" s="403">
        <f t="shared" si="270"/>
        <v>0</v>
      </c>
      <c r="AD509" s="4355"/>
      <c r="AE509" s="4355"/>
      <c r="AF509" s="4355"/>
      <c r="AG509" s="4355"/>
      <c r="AH509" s="4355"/>
      <c r="AI509" s="4355"/>
      <c r="AJ509" s="4355"/>
      <c r="AK509" s="4355"/>
      <c r="AL509" s="4355"/>
      <c r="AM509" s="4355"/>
      <c r="AN509" s="4355"/>
      <c r="AO509" s="4355"/>
      <c r="AP509" s="4355"/>
      <c r="AQ509" s="4355"/>
      <c r="AR509" s="4355"/>
      <c r="AS509" s="4355"/>
      <c r="AT509" s="4356"/>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2">
        <f t="shared" si="268"/>
        <v>0</v>
      </c>
      <c r="H510" s="4353">
        <f t="shared" si="269"/>
        <v>0</v>
      </c>
      <c r="I510" s="4354"/>
      <c r="J510" s="4354"/>
      <c r="K510" s="4354"/>
      <c r="L510" s="4354"/>
      <c r="M510" s="4354"/>
      <c r="N510" s="4354"/>
      <c r="O510" s="4354"/>
      <c r="P510" s="4354"/>
      <c r="Q510" s="4354"/>
      <c r="R510" s="4354"/>
      <c r="S510" s="4354"/>
      <c r="T510" s="4354"/>
      <c r="U510" s="4354"/>
      <c r="V510" s="4354"/>
      <c r="W510" s="4354"/>
      <c r="X510" s="4354"/>
      <c r="Y510" s="4354"/>
      <c r="Z510" s="4354"/>
      <c r="AA510" s="4354"/>
      <c r="AB510" s="4354"/>
      <c r="AC510" s="403">
        <f t="shared" si="270"/>
        <v>0</v>
      </c>
      <c r="AD510" s="4355"/>
      <c r="AE510" s="4355"/>
      <c r="AF510" s="4355"/>
      <c r="AG510" s="4355"/>
      <c r="AH510" s="4355"/>
      <c r="AI510" s="4355"/>
      <c r="AJ510" s="4355"/>
      <c r="AK510" s="4355"/>
      <c r="AL510" s="4355"/>
      <c r="AM510" s="4355"/>
      <c r="AN510" s="4355"/>
      <c r="AO510" s="4355"/>
      <c r="AP510" s="4355"/>
      <c r="AQ510" s="4355"/>
      <c r="AR510" s="4355"/>
      <c r="AS510" s="4355"/>
      <c r="AT510" s="4356"/>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2">
        <f t="shared" si="268"/>
        <v>0</v>
      </c>
      <c r="H511" s="4353">
        <f t="shared" si="269"/>
        <v>0</v>
      </c>
      <c r="I511" s="4354"/>
      <c r="J511" s="4354"/>
      <c r="K511" s="4354"/>
      <c r="L511" s="4354"/>
      <c r="M511" s="4354"/>
      <c r="N511" s="4354"/>
      <c r="O511" s="4354"/>
      <c r="P511" s="4354"/>
      <c r="Q511" s="4354"/>
      <c r="R511" s="4354"/>
      <c r="S511" s="4354"/>
      <c r="T511" s="4354"/>
      <c r="U511" s="4354"/>
      <c r="V511" s="4354"/>
      <c r="W511" s="4354"/>
      <c r="X511" s="4354"/>
      <c r="Y511" s="4354"/>
      <c r="Z511" s="4354"/>
      <c r="AA511" s="4354"/>
      <c r="AB511" s="4354"/>
      <c r="AC511" s="403">
        <f t="shared" si="270"/>
        <v>0</v>
      </c>
      <c r="AD511" s="4355"/>
      <c r="AE511" s="4355"/>
      <c r="AF511" s="4355"/>
      <c r="AG511" s="4355"/>
      <c r="AH511" s="4355"/>
      <c r="AI511" s="4355"/>
      <c r="AJ511" s="4355"/>
      <c r="AK511" s="4355"/>
      <c r="AL511" s="4355"/>
      <c r="AM511" s="4355"/>
      <c r="AN511" s="4355"/>
      <c r="AO511" s="4355"/>
      <c r="AP511" s="4355"/>
      <c r="AQ511" s="4355"/>
      <c r="AR511" s="4355"/>
      <c r="AS511" s="4355"/>
      <c r="AT511" s="4356"/>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2">
        <f t="shared" si="268"/>
        <v>0</v>
      </c>
      <c r="H512" s="4353">
        <f t="shared" si="269"/>
        <v>0</v>
      </c>
      <c r="I512" s="4354"/>
      <c r="J512" s="4354"/>
      <c r="K512" s="4354"/>
      <c r="L512" s="4354"/>
      <c r="M512" s="4354"/>
      <c r="N512" s="4354"/>
      <c r="O512" s="4354"/>
      <c r="P512" s="4354"/>
      <c r="Q512" s="4354"/>
      <c r="R512" s="4354"/>
      <c r="S512" s="4354"/>
      <c r="T512" s="4354"/>
      <c r="U512" s="4354"/>
      <c r="V512" s="4354"/>
      <c r="W512" s="4354"/>
      <c r="X512" s="4354"/>
      <c r="Y512" s="4354"/>
      <c r="Z512" s="4354"/>
      <c r="AA512" s="4354"/>
      <c r="AB512" s="4354"/>
      <c r="AC512" s="403">
        <f t="shared" si="270"/>
        <v>0</v>
      </c>
      <c r="AD512" s="4355"/>
      <c r="AE512" s="4355"/>
      <c r="AF512" s="4355"/>
      <c r="AG512" s="4355"/>
      <c r="AH512" s="4355"/>
      <c r="AI512" s="4355"/>
      <c r="AJ512" s="4355"/>
      <c r="AK512" s="4355"/>
      <c r="AL512" s="4355"/>
      <c r="AM512" s="4355"/>
      <c r="AN512" s="4355"/>
      <c r="AO512" s="4355"/>
      <c r="AP512" s="4355"/>
      <c r="AQ512" s="4355"/>
      <c r="AR512" s="4355"/>
      <c r="AS512" s="4355"/>
      <c r="AT512" s="4356"/>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2">
        <f t="shared" si="268"/>
        <v>0</v>
      </c>
      <c r="H513" s="4353">
        <f t="shared" si="269"/>
        <v>0</v>
      </c>
      <c r="I513" s="4354"/>
      <c r="J513" s="4354"/>
      <c r="K513" s="4354"/>
      <c r="L513" s="4354"/>
      <c r="M513" s="4354"/>
      <c r="N513" s="4354"/>
      <c r="O513" s="4354"/>
      <c r="P513" s="4354"/>
      <c r="Q513" s="4354"/>
      <c r="R513" s="4354"/>
      <c r="S513" s="4354"/>
      <c r="T513" s="4354"/>
      <c r="U513" s="4354"/>
      <c r="V513" s="4354"/>
      <c r="W513" s="4354"/>
      <c r="X513" s="4354"/>
      <c r="Y513" s="4354"/>
      <c r="Z513" s="4354"/>
      <c r="AA513" s="4354"/>
      <c r="AB513" s="4354"/>
      <c r="AC513" s="403">
        <f t="shared" si="270"/>
        <v>0</v>
      </c>
      <c r="AD513" s="4355"/>
      <c r="AE513" s="4355"/>
      <c r="AF513" s="4355"/>
      <c r="AG513" s="4355"/>
      <c r="AH513" s="4355"/>
      <c r="AI513" s="4355"/>
      <c r="AJ513" s="4355"/>
      <c r="AK513" s="4355"/>
      <c r="AL513" s="4355"/>
      <c r="AM513" s="4355"/>
      <c r="AN513" s="4355"/>
      <c r="AO513" s="4355"/>
      <c r="AP513" s="4355"/>
      <c r="AQ513" s="4355"/>
      <c r="AR513" s="4355"/>
      <c r="AS513" s="4355"/>
      <c r="AT513" s="4356"/>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2">
        <f t="shared" si="268"/>
        <v>0</v>
      </c>
      <c r="H514" s="4353">
        <f t="shared" si="269"/>
        <v>0</v>
      </c>
      <c r="I514" s="4354"/>
      <c r="J514" s="4354"/>
      <c r="K514" s="4354"/>
      <c r="L514" s="4354"/>
      <c r="M514" s="4354"/>
      <c r="N514" s="4354"/>
      <c r="O514" s="4354"/>
      <c r="P514" s="4354"/>
      <c r="Q514" s="4354"/>
      <c r="R514" s="4354"/>
      <c r="S514" s="4354"/>
      <c r="T514" s="4354"/>
      <c r="U514" s="4354"/>
      <c r="V514" s="4354"/>
      <c r="W514" s="4354"/>
      <c r="X514" s="4354"/>
      <c r="Y514" s="4354"/>
      <c r="Z514" s="4354"/>
      <c r="AA514" s="4354"/>
      <c r="AB514" s="4354"/>
      <c r="AC514" s="403">
        <f t="shared" si="270"/>
        <v>0</v>
      </c>
      <c r="AD514" s="4355"/>
      <c r="AE514" s="4355"/>
      <c r="AF514" s="4355"/>
      <c r="AG514" s="4355"/>
      <c r="AH514" s="4355"/>
      <c r="AI514" s="4355"/>
      <c r="AJ514" s="4355"/>
      <c r="AK514" s="4355"/>
      <c r="AL514" s="4355"/>
      <c r="AM514" s="4355"/>
      <c r="AN514" s="4355"/>
      <c r="AO514" s="4355"/>
      <c r="AP514" s="4355"/>
      <c r="AQ514" s="4355"/>
      <c r="AR514" s="4355"/>
      <c r="AS514" s="4355"/>
      <c r="AT514" s="4356"/>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2">
        <f t="shared" si="268"/>
        <v>0</v>
      </c>
      <c r="H515" s="4353">
        <f t="shared" si="269"/>
        <v>0</v>
      </c>
      <c r="I515" s="4354"/>
      <c r="J515" s="4354"/>
      <c r="K515" s="4354"/>
      <c r="L515" s="4354"/>
      <c r="M515" s="4354"/>
      <c r="N515" s="4354"/>
      <c r="O515" s="4354"/>
      <c r="P515" s="4354"/>
      <c r="Q515" s="4354"/>
      <c r="R515" s="4354"/>
      <c r="S515" s="4354"/>
      <c r="T515" s="4354"/>
      <c r="U515" s="4354"/>
      <c r="V515" s="4354"/>
      <c r="W515" s="4354"/>
      <c r="X515" s="4354"/>
      <c r="Y515" s="4354"/>
      <c r="Z515" s="4354"/>
      <c r="AA515" s="4354"/>
      <c r="AB515" s="4354"/>
      <c r="AC515" s="403">
        <f t="shared" si="270"/>
        <v>0</v>
      </c>
      <c r="AD515" s="4355"/>
      <c r="AE515" s="4355"/>
      <c r="AF515" s="4355"/>
      <c r="AG515" s="4355"/>
      <c r="AH515" s="4355"/>
      <c r="AI515" s="4355"/>
      <c r="AJ515" s="4355"/>
      <c r="AK515" s="4355"/>
      <c r="AL515" s="4355"/>
      <c r="AM515" s="4355"/>
      <c r="AN515" s="4355"/>
      <c r="AO515" s="4355"/>
      <c r="AP515" s="4355"/>
      <c r="AQ515" s="4355"/>
      <c r="AR515" s="4355"/>
      <c r="AS515" s="4355"/>
      <c r="AT515" s="4356"/>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2">
        <f t="shared" si="268"/>
        <v>0</v>
      </c>
      <c r="H516" s="4353">
        <f t="shared" si="269"/>
        <v>0</v>
      </c>
      <c r="I516" s="4354"/>
      <c r="J516" s="4354"/>
      <c r="K516" s="4354"/>
      <c r="L516" s="4354"/>
      <c r="M516" s="4354"/>
      <c r="N516" s="4354"/>
      <c r="O516" s="4354"/>
      <c r="P516" s="4354"/>
      <c r="Q516" s="4354"/>
      <c r="R516" s="4354"/>
      <c r="S516" s="4354"/>
      <c r="T516" s="4354"/>
      <c r="U516" s="4354"/>
      <c r="V516" s="4354"/>
      <c r="W516" s="4354"/>
      <c r="X516" s="4354"/>
      <c r="Y516" s="4354"/>
      <c r="Z516" s="4354"/>
      <c r="AA516" s="4354"/>
      <c r="AB516" s="4354"/>
      <c r="AC516" s="403">
        <f t="shared" si="270"/>
        <v>0</v>
      </c>
      <c r="AD516" s="4355"/>
      <c r="AE516" s="4355"/>
      <c r="AF516" s="4355"/>
      <c r="AG516" s="4355"/>
      <c r="AH516" s="4355"/>
      <c r="AI516" s="4355"/>
      <c r="AJ516" s="4355"/>
      <c r="AK516" s="4355"/>
      <c r="AL516" s="4355"/>
      <c r="AM516" s="4355"/>
      <c r="AN516" s="4355"/>
      <c r="AO516" s="4355"/>
      <c r="AP516" s="4355"/>
      <c r="AQ516" s="4355"/>
      <c r="AR516" s="4355"/>
      <c r="AS516" s="4355"/>
      <c r="AT516" s="4356"/>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2">
        <f t="shared" si="268"/>
        <v>0</v>
      </c>
      <c r="H517" s="4353">
        <f t="shared" si="269"/>
        <v>0</v>
      </c>
      <c r="I517" s="4354"/>
      <c r="J517" s="4354"/>
      <c r="K517" s="4354"/>
      <c r="L517" s="4354"/>
      <c r="M517" s="4354"/>
      <c r="N517" s="4354"/>
      <c r="O517" s="4354"/>
      <c r="P517" s="4354"/>
      <c r="Q517" s="4354"/>
      <c r="R517" s="4354"/>
      <c r="S517" s="4354"/>
      <c r="T517" s="4354"/>
      <c r="U517" s="4354"/>
      <c r="V517" s="4354"/>
      <c r="W517" s="4354"/>
      <c r="X517" s="4354"/>
      <c r="Y517" s="4354"/>
      <c r="Z517" s="4354"/>
      <c r="AA517" s="4354"/>
      <c r="AB517" s="4354"/>
      <c r="AC517" s="403">
        <f t="shared" si="270"/>
        <v>0</v>
      </c>
      <c r="AD517" s="4355"/>
      <c r="AE517" s="4355"/>
      <c r="AF517" s="4355"/>
      <c r="AG517" s="4355"/>
      <c r="AH517" s="4355"/>
      <c r="AI517" s="4355"/>
      <c r="AJ517" s="4355"/>
      <c r="AK517" s="4355"/>
      <c r="AL517" s="4355"/>
      <c r="AM517" s="4355"/>
      <c r="AN517" s="4355"/>
      <c r="AO517" s="4355"/>
      <c r="AP517" s="4355"/>
      <c r="AQ517" s="4355"/>
      <c r="AR517" s="4355"/>
      <c r="AS517" s="4355"/>
      <c r="AT517" s="4356"/>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2">
        <f t="shared" si="268"/>
        <v>0</v>
      </c>
      <c r="H518" s="4353">
        <f t="shared" si="269"/>
        <v>0</v>
      </c>
      <c r="I518" s="4354"/>
      <c r="J518" s="4354"/>
      <c r="K518" s="4354"/>
      <c r="L518" s="4354"/>
      <c r="M518" s="4354"/>
      <c r="N518" s="4354"/>
      <c r="O518" s="4354"/>
      <c r="P518" s="4354"/>
      <c r="Q518" s="4354"/>
      <c r="R518" s="4354"/>
      <c r="S518" s="4354"/>
      <c r="T518" s="4354"/>
      <c r="U518" s="4354"/>
      <c r="V518" s="4354"/>
      <c r="W518" s="4354"/>
      <c r="X518" s="4354"/>
      <c r="Y518" s="4354"/>
      <c r="Z518" s="4354"/>
      <c r="AA518" s="4354"/>
      <c r="AB518" s="4354"/>
      <c r="AC518" s="403">
        <f t="shared" si="270"/>
        <v>0</v>
      </c>
      <c r="AD518" s="4355"/>
      <c r="AE518" s="4355"/>
      <c r="AF518" s="4355"/>
      <c r="AG518" s="4355"/>
      <c r="AH518" s="4355"/>
      <c r="AI518" s="4355"/>
      <c r="AJ518" s="4355"/>
      <c r="AK518" s="4355"/>
      <c r="AL518" s="4355"/>
      <c r="AM518" s="4355"/>
      <c r="AN518" s="4355"/>
      <c r="AO518" s="4355"/>
      <c r="AP518" s="4355"/>
      <c r="AQ518" s="4355"/>
      <c r="AR518" s="4355"/>
      <c r="AS518" s="4355"/>
      <c r="AT518" s="4356"/>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2">
        <f t="shared" si="268"/>
        <v>0</v>
      </c>
      <c r="H519" s="4353">
        <f t="shared" si="269"/>
        <v>0</v>
      </c>
      <c r="I519" s="4354"/>
      <c r="J519" s="4354"/>
      <c r="K519" s="4354"/>
      <c r="L519" s="4354"/>
      <c r="M519" s="4354"/>
      <c r="N519" s="4354"/>
      <c r="O519" s="4354"/>
      <c r="P519" s="4354"/>
      <c r="Q519" s="4354"/>
      <c r="R519" s="4354"/>
      <c r="S519" s="4354"/>
      <c r="T519" s="4354"/>
      <c r="U519" s="4354"/>
      <c r="V519" s="4354"/>
      <c r="W519" s="4354"/>
      <c r="X519" s="4354"/>
      <c r="Y519" s="4354"/>
      <c r="Z519" s="4354"/>
      <c r="AA519" s="4354"/>
      <c r="AB519" s="4354"/>
      <c r="AC519" s="403">
        <f t="shared" si="270"/>
        <v>0</v>
      </c>
      <c r="AD519" s="4355"/>
      <c r="AE519" s="4355"/>
      <c r="AF519" s="4355"/>
      <c r="AG519" s="4355"/>
      <c r="AH519" s="4355"/>
      <c r="AI519" s="4355"/>
      <c r="AJ519" s="4355"/>
      <c r="AK519" s="4355"/>
      <c r="AL519" s="4355"/>
      <c r="AM519" s="4355"/>
      <c r="AN519" s="4355"/>
      <c r="AO519" s="4355"/>
      <c r="AP519" s="4355"/>
      <c r="AQ519" s="4355"/>
      <c r="AR519" s="4355"/>
      <c r="AS519" s="4355"/>
      <c r="AT519" s="4356"/>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2">
        <f t="shared" si="268"/>
        <v>0</v>
      </c>
      <c r="H520" s="4353">
        <f t="shared" si="269"/>
        <v>0</v>
      </c>
      <c r="I520" s="4354"/>
      <c r="J520" s="4354"/>
      <c r="K520" s="4354"/>
      <c r="L520" s="4354"/>
      <c r="M520" s="4354"/>
      <c r="N520" s="4354"/>
      <c r="O520" s="4354"/>
      <c r="P520" s="4354"/>
      <c r="Q520" s="4354"/>
      <c r="R520" s="4354"/>
      <c r="S520" s="4354"/>
      <c r="T520" s="4354"/>
      <c r="U520" s="4354"/>
      <c r="V520" s="4354"/>
      <c r="W520" s="4354"/>
      <c r="X520" s="4354"/>
      <c r="Y520" s="4354"/>
      <c r="Z520" s="4354"/>
      <c r="AA520" s="4354"/>
      <c r="AB520" s="4354"/>
      <c r="AC520" s="403">
        <f t="shared" si="270"/>
        <v>0</v>
      </c>
      <c r="AD520" s="4355"/>
      <c r="AE520" s="4355"/>
      <c r="AF520" s="4355"/>
      <c r="AG520" s="4355"/>
      <c r="AH520" s="4355"/>
      <c r="AI520" s="4355"/>
      <c r="AJ520" s="4355"/>
      <c r="AK520" s="4355"/>
      <c r="AL520" s="4355"/>
      <c r="AM520" s="4355"/>
      <c r="AN520" s="4355"/>
      <c r="AO520" s="4355"/>
      <c r="AP520" s="4355"/>
      <c r="AQ520" s="4355"/>
      <c r="AR520" s="4355"/>
      <c r="AS520" s="4355"/>
      <c r="AT520" s="4356"/>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2">
        <f t="shared" si="268"/>
        <v>0</v>
      </c>
      <c r="H521" s="4353">
        <f t="shared" si="269"/>
        <v>0</v>
      </c>
      <c r="I521" s="4354"/>
      <c r="J521" s="4354"/>
      <c r="K521" s="4354"/>
      <c r="L521" s="4354"/>
      <c r="M521" s="4354"/>
      <c r="N521" s="4354"/>
      <c r="O521" s="4354"/>
      <c r="P521" s="4354"/>
      <c r="Q521" s="4354"/>
      <c r="R521" s="4354"/>
      <c r="S521" s="4354"/>
      <c r="T521" s="4354"/>
      <c r="U521" s="4354"/>
      <c r="V521" s="4354"/>
      <c r="W521" s="4354"/>
      <c r="X521" s="4354"/>
      <c r="Y521" s="4354"/>
      <c r="Z521" s="4354"/>
      <c r="AA521" s="4354"/>
      <c r="AB521" s="4354"/>
      <c r="AC521" s="403">
        <f t="shared" si="270"/>
        <v>0</v>
      </c>
      <c r="AD521" s="4355"/>
      <c r="AE521" s="4355"/>
      <c r="AF521" s="4355"/>
      <c r="AG521" s="4355"/>
      <c r="AH521" s="4355"/>
      <c r="AI521" s="4355"/>
      <c r="AJ521" s="4355"/>
      <c r="AK521" s="4355"/>
      <c r="AL521" s="4355"/>
      <c r="AM521" s="4355"/>
      <c r="AN521" s="4355"/>
      <c r="AO521" s="4355"/>
      <c r="AP521" s="4355"/>
      <c r="AQ521" s="4355"/>
      <c r="AR521" s="4355"/>
      <c r="AS521" s="4355"/>
      <c r="AT521" s="4356"/>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2">
        <f t="shared" ref="G522:G552" si="301">H522+AC522+AT522</f>
        <v>0</v>
      </c>
      <c r="H522" s="4353">
        <f t="shared" ref="H522:H552" si="302">SUMIF(I$12:AB$12,"总值",I522:AB522)</f>
        <v>0</v>
      </c>
      <c r="I522" s="4354"/>
      <c r="J522" s="4354"/>
      <c r="K522" s="4354"/>
      <c r="L522" s="4354"/>
      <c r="M522" s="4354"/>
      <c r="N522" s="4354"/>
      <c r="O522" s="4354"/>
      <c r="P522" s="4354"/>
      <c r="Q522" s="4354"/>
      <c r="R522" s="4354"/>
      <c r="S522" s="4354"/>
      <c r="T522" s="4354"/>
      <c r="U522" s="4354"/>
      <c r="V522" s="4354"/>
      <c r="W522" s="4354"/>
      <c r="X522" s="4354"/>
      <c r="Y522" s="4354"/>
      <c r="Z522" s="4354"/>
      <c r="AA522" s="4354"/>
      <c r="AB522" s="4354"/>
      <c r="AC522" s="403">
        <f t="shared" ref="AC522:AC552" si="303">SUMIF(AD$12:AS$12,"总值",AD522:AS522)</f>
        <v>0</v>
      </c>
      <c r="AD522" s="4355"/>
      <c r="AE522" s="4355"/>
      <c r="AF522" s="4355"/>
      <c r="AG522" s="4355"/>
      <c r="AH522" s="4355"/>
      <c r="AI522" s="4355"/>
      <c r="AJ522" s="4355"/>
      <c r="AK522" s="4355"/>
      <c r="AL522" s="4355"/>
      <c r="AM522" s="4355"/>
      <c r="AN522" s="4355"/>
      <c r="AO522" s="4355"/>
      <c r="AP522" s="4355"/>
      <c r="AQ522" s="4355"/>
      <c r="AR522" s="4355"/>
      <c r="AS522" s="4355"/>
      <c r="AT522" s="4356"/>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2">
        <f t="shared" si="301"/>
        <v>0</v>
      </c>
      <c r="H523" s="4353">
        <f t="shared" si="302"/>
        <v>0</v>
      </c>
      <c r="I523" s="4354"/>
      <c r="J523" s="4354"/>
      <c r="K523" s="4354"/>
      <c r="L523" s="4354"/>
      <c r="M523" s="4354"/>
      <c r="N523" s="4354"/>
      <c r="O523" s="4354"/>
      <c r="P523" s="4354"/>
      <c r="Q523" s="4354"/>
      <c r="R523" s="4354"/>
      <c r="S523" s="4354"/>
      <c r="T523" s="4354"/>
      <c r="U523" s="4354"/>
      <c r="V523" s="4354"/>
      <c r="W523" s="4354"/>
      <c r="X523" s="4354"/>
      <c r="Y523" s="4354"/>
      <c r="Z523" s="4354"/>
      <c r="AA523" s="4354"/>
      <c r="AB523" s="4354"/>
      <c r="AC523" s="403">
        <f t="shared" si="303"/>
        <v>0</v>
      </c>
      <c r="AD523" s="4355"/>
      <c r="AE523" s="4355"/>
      <c r="AF523" s="4355"/>
      <c r="AG523" s="4355"/>
      <c r="AH523" s="4355"/>
      <c r="AI523" s="4355"/>
      <c r="AJ523" s="4355"/>
      <c r="AK523" s="4355"/>
      <c r="AL523" s="4355"/>
      <c r="AM523" s="4355"/>
      <c r="AN523" s="4355"/>
      <c r="AO523" s="4355"/>
      <c r="AP523" s="4355"/>
      <c r="AQ523" s="4355"/>
      <c r="AR523" s="4355"/>
      <c r="AS523" s="4355"/>
      <c r="AT523" s="4356"/>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2">
        <f t="shared" si="301"/>
        <v>0</v>
      </c>
      <c r="H524" s="4353">
        <f t="shared" si="302"/>
        <v>0</v>
      </c>
      <c r="I524" s="4354"/>
      <c r="J524" s="4354"/>
      <c r="K524" s="4354"/>
      <c r="L524" s="4354"/>
      <c r="M524" s="4354"/>
      <c r="N524" s="4354"/>
      <c r="O524" s="4354"/>
      <c r="P524" s="4354"/>
      <c r="Q524" s="4354"/>
      <c r="R524" s="4354"/>
      <c r="S524" s="4354"/>
      <c r="T524" s="4354"/>
      <c r="U524" s="4354"/>
      <c r="V524" s="4354"/>
      <c r="W524" s="4354"/>
      <c r="X524" s="4354"/>
      <c r="Y524" s="4354"/>
      <c r="Z524" s="4354"/>
      <c r="AA524" s="4354"/>
      <c r="AB524" s="4354"/>
      <c r="AC524" s="403">
        <f t="shared" si="303"/>
        <v>0</v>
      </c>
      <c r="AD524" s="4355"/>
      <c r="AE524" s="4355"/>
      <c r="AF524" s="4355"/>
      <c r="AG524" s="4355"/>
      <c r="AH524" s="4355"/>
      <c r="AI524" s="4355"/>
      <c r="AJ524" s="4355"/>
      <c r="AK524" s="4355"/>
      <c r="AL524" s="4355"/>
      <c r="AM524" s="4355"/>
      <c r="AN524" s="4355"/>
      <c r="AO524" s="4355"/>
      <c r="AP524" s="4355"/>
      <c r="AQ524" s="4355"/>
      <c r="AR524" s="4355"/>
      <c r="AS524" s="4355"/>
      <c r="AT524" s="4356"/>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2">
        <f t="shared" si="301"/>
        <v>0</v>
      </c>
      <c r="H525" s="4353">
        <f t="shared" si="302"/>
        <v>0</v>
      </c>
      <c r="I525" s="4354"/>
      <c r="J525" s="4354"/>
      <c r="K525" s="4354"/>
      <c r="L525" s="4354"/>
      <c r="M525" s="4354"/>
      <c r="N525" s="4354"/>
      <c r="O525" s="4354"/>
      <c r="P525" s="4354"/>
      <c r="Q525" s="4354"/>
      <c r="R525" s="4354"/>
      <c r="S525" s="4354"/>
      <c r="T525" s="4354"/>
      <c r="U525" s="4354"/>
      <c r="V525" s="4354"/>
      <c r="W525" s="4354"/>
      <c r="X525" s="4354"/>
      <c r="Y525" s="4354"/>
      <c r="Z525" s="4354"/>
      <c r="AA525" s="4354"/>
      <c r="AB525" s="4354"/>
      <c r="AC525" s="403">
        <f t="shared" si="303"/>
        <v>0</v>
      </c>
      <c r="AD525" s="4355"/>
      <c r="AE525" s="4355"/>
      <c r="AF525" s="4355"/>
      <c r="AG525" s="4355"/>
      <c r="AH525" s="4355"/>
      <c r="AI525" s="4355"/>
      <c r="AJ525" s="4355"/>
      <c r="AK525" s="4355"/>
      <c r="AL525" s="4355"/>
      <c r="AM525" s="4355"/>
      <c r="AN525" s="4355"/>
      <c r="AO525" s="4355"/>
      <c r="AP525" s="4355"/>
      <c r="AQ525" s="4355"/>
      <c r="AR525" s="4355"/>
      <c r="AS525" s="4355"/>
      <c r="AT525" s="4356"/>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2">
        <f t="shared" si="301"/>
        <v>0</v>
      </c>
      <c r="H526" s="4353">
        <f t="shared" si="302"/>
        <v>0</v>
      </c>
      <c r="I526" s="4354"/>
      <c r="J526" s="4354"/>
      <c r="K526" s="4354"/>
      <c r="L526" s="4354"/>
      <c r="M526" s="4354"/>
      <c r="N526" s="4354"/>
      <c r="O526" s="4354"/>
      <c r="P526" s="4354"/>
      <c r="Q526" s="4354"/>
      <c r="R526" s="4354"/>
      <c r="S526" s="4354"/>
      <c r="T526" s="4354"/>
      <c r="U526" s="4354"/>
      <c r="V526" s="4354"/>
      <c r="W526" s="4354"/>
      <c r="X526" s="4354"/>
      <c r="Y526" s="4354"/>
      <c r="Z526" s="4354"/>
      <c r="AA526" s="4354"/>
      <c r="AB526" s="4354"/>
      <c r="AC526" s="403">
        <f t="shared" si="303"/>
        <v>0</v>
      </c>
      <c r="AD526" s="4355"/>
      <c r="AE526" s="4355"/>
      <c r="AF526" s="4355"/>
      <c r="AG526" s="4355"/>
      <c r="AH526" s="4355"/>
      <c r="AI526" s="4355"/>
      <c r="AJ526" s="4355"/>
      <c r="AK526" s="4355"/>
      <c r="AL526" s="4355"/>
      <c r="AM526" s="4355"/>
      <c r="AN526" s="4355"/>
      <c r="AO526" s="4355"/>
      <c r="AP526" s="4355"/>
      <c r="AQ526" s="4355"/>
      <c r="AR526" s="4355"/>
      <c r="AS526" s="4355"/>
      <c r="AT526" s="4356"/>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2">
        <f t="shared" si="301"/>
        <v>0</v>
      </c>
      <c r="H527" s="4353">
        <f t="shared" si="302"/>
        <v>0</v>
      </c>
      <c r="I527" s="4354"/>
      <c r="J527" s="4354"/>
      <c r="K527" s="4354"/>
      <c r="L527" s="4354"/>
      <c r="M527" s="4354"/>
      <c r="N527" s="4354"/>
      <c r="O527" s="4354"/>
      <c r="P527" s="4354"/>
      <c r="Q527" s="4354"/>
      <c r="R527" s="4354"/>
      <c r="S527" s="4354"/>
      <c r="T527" s="4354"/>
      <c r="U527" s="4354"/>
      <c r="V527" s="4354"/>
      <c r="W527" s="4354"/>
      <c r="X527" s="4354"/>
      <c r="Y527" s="4354"/>
      <c r="Z527" s="4354"/>
      <c r="AA527" s="4354"/>
      <c r="AB527" s="4354"/>
      <c r="AC527" s="403">
        <f t="shared" si="303"/>
        <v>0</v>
      </c>
      <c r="AD527" s="4355"/>
      <c r="AE527" s="4355"/>
      <c r="AF527" s="4355"/>
      <c r="AG527" s="4355"/>
      <c r="AH527" s="4355"/>
      <c r="AI527" s="4355"/>
      <c r="AJ527" s="4355"/>
      <c r="AK527" s="4355"/>
      <c r="AL527" s="4355"/>
      <c r="AM527" s="4355"/>
      <c r="AN527" s="4355"/>
      <c r="AO527" s="4355"/>
      <c r="AP527" s="4355"/>
      <c r="AQ527" s="4355"/>
      <c r="AR527" s="4355"/>
      <c r="AS527" s="4355"/>
      <c r="AT527" s="4356"/>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2">
        <f t="shared" si="301"/>
        <v>0</v>
      </c>
      <c r="H528" s="4353">
        <f t="shared" si="302"/>
        <v>0</v>
      </c>
      <c r="I528" s="4354"/>
      <c r="J528" s="4354"/>
      <c r="K528" s="4354"/>
      <c r="L528" s="4354"/>
      <c r="M528" s="4354"/>
      <c r="N528" s="4354"/>
      <c r="O528" s="4354"/>
      <c r="P528" s="4354"/>
      <c r="Q528" s="4354"/>
      <c r="R528" s="4354"/>
      <c r="S528" s="4354"/>
      <c r="T528" s="4354"/>
      <c r="U528" s="4354"/>
      <c r="V528" s="4354"/>
      <c r="W528" s="4354"/>
      <c r="X528" s="4354"/>
      <c r="Y528" s="4354"/>
      <c r="Z528" s="4354"/>
      <c r="AA528" s="4354"/>
      <c r="AB528" s="4354"/>
      <c r="AC528" s="403">
        <f t="shared" si="303"/>
        <v>0</v>
      </c>
      <c r="AD528" s="4355"/>
      <c r="AE528" s="4355"/>
      <c r="AF528" s="4355"/>
      <c r="AG528" s="4355"/>
      <c r="AH528" s="4355"/>
      <c r="AI528" s="4355"/>
      <c r="AJ528" s="4355"/>
      <c r="AK528" s="4355"/>
      <c r="AL528" s="4355"/>
      <c r="AM528" s="4355"/>
      <c r="AN528" s="4355"/>
      <c r="AO528" s="4355"/>
      <c r="AP528" s="4355"/>
      <c r="AQ528" s="4355"/>
      <c r="AR528" s="4355"/>
      <c r="AS528" s="4355"/>
      <c r="AT528" s="4356"/>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2">
        <f t="shared" si="301"/>
        <v>0</v>
      </c>
      <c r="H529" s="4353">
        <f t="shared" si="302"/>
        <v>0</v>
      </c>
      <c r="I529" s="4354"/>
      <c r="J529" s="4354"/>
      <c r="K529" s="4354"/>
      <c r="L529" s="4354"/>
      <c r="M529" s="4354"/>
      <c r="N529" s="4354"/>
      <c r="O529" s="4354"/>
      <c r="P529" s="4354"/>
      <c r="Q529" s="4354"/>
      <c r="R529" s="4354"/>
      <c r="S529" s="4354"/>
      <c r="T529" s="4354"/>
      <c r="U529" s="4354"/>
      <c r="V529" s="4354"/>
      <c r="W529" s="4354"/>
      <c r="X529" s="4354"/>
      <c r="Y529" s="4354"/>
      <c r="Z529" s="4354"/>
      <c r="AA529" s="4354"/>
      <c r="AB529" s="4354"/>
      <c r="AC529" s="403">
        <f t="shared" si="303"/>
        <v>0</v>
      </c>
      <c r="AD529" s="4355"/>
      <c r="AE529" s="4355"/>
      <c r="AF529" s="4355"/>
      <c r="AG529" s="4355"/>
      <c r="AH529" s="4355"/>
      <c r="AI529" s="4355"/>
      <c r="AJ529" s="4355"/>
      <c r="AK529" s="4355"/>
      <c r="AL529" s="4355"/>
      <c r="AM529" s="4355"/>
      <c r="AN529" s="4355"/>
      <c r="AO529" s="4355"/>
      <c r="AP529" s="4355"/>
      <c r="AQ529" s="4355"/>
      <c r="AR529" s="4355"/>
      <c r="AS529" s="4355"/>
      <c r="AT529" s="4356"/>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2">
        <f t="shared" si="301"/>
        <v>0</v>
      </c>
      <c r="H530" s="4353">
        <f t="shared" si="302"/>
        <v>0</v>
      </c>
      <c r="I530" s="4354"/>
      <c r="J530" s="4354"/>
      <c r="K530" s="4354"/>
      <c r="L530" s="4354"/>
      <c r="M530" s="4354"/>
      <c r="N530" s="4354"/>
      <c r="O530" s="4354"/>
      <c r="P530" s="4354"/>
      <c r="Q530" s="4354"/>
      <c r="R530" s="4354"/>
      <c r="S530" s="4354"/>
      <c r="T530" s="4354"/>
      <c r="U530" s="4354"/>
      <c r="V530" s="4354"/>
      <c r="W530" s="4354"/>
      <c r="X530" s="4354"/>
      <c r="Y530" s="4354"/>
      <c r="Z530" s="4354"/>
      <c r="AA530" s="4354"/>
      <c r="AB530" s="4354"/>
      <c r="AC530" s="403">
        <f t="shared" si="303"/>
        <v>0</v>
      </c>
      <c r="AD530" s="4355"/>
      <c r="AE530" s="4355"/>
      <c r="AF530" s="4355"/>
      <c r="AG530" s="4355"/>
      <c r="AH530" s="4355"/>
      <c r="AI530" s="4355"/>
      <c r="AJ530" s="4355"/>
      <c r="AK530" s="4355"/>
      <c r="AL530" s="4355"/>
      <c r="AM530" s="4355"/>
      <c r="AN530" s="4355"/>
      <c r="AO530" s="4355"/>
      <c r="AP530" s="4355"/>
      <c r="AQ530" s="4355"/>
      <c r="AR530" s="4355"/>
      <c r="AS530" s="4355"/>
      <c r="AT530" s="4356"/>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2">
        <f t="shared" si="301"/>
        <v>0</v>
      </c>
      <c r="H531" s="4353">
        <f t="shared" si="302"/>
        <v>0</v>
      </c>
      <c r="I531" s="4354"/>
      <c r="J531" s="4354"/>
      <c r="K531" s="4354"/>
      <c r="L531" s="4354"/>
      <c r="M531" s="4354"/>
      <c r="N531" s="4354"/>
      <c r="O531" s="4354"/>
      <c r="P531" s="4354"/>
      <c r="Q531" s="4354"/>
      <c r="R531" s="4354"/>
      <c r="S531" s="4354"/>
      <c r="T531" s="4354"/>
      <c r="U531" s="4354"/>
      <c r="V531" s="4354"/>
      <c r="W531" s="4354"/>
      <c r="X531" s="4354"/>
      <c r="Y531" s="4354"/>
      <c r="Z531" s="4354"/>
      <c r="AA531" s="4354"/>
      <c r="AB531" s="4354"/>
      <c r="AC531" s="403">
        <f t="shared" si="303"/>
        <v>0</v>
      </c>
      <c r="AD531" s="4355"/>
      <c r="AE531" s="4355"/>
      <c r="AF531" s="4355"/>
      <c r="AG531" s="4355"/>
      <c r="AH531" s="4355"/>
      <c r="AI531" s="4355"/>
      <c r="AJ531" s="4355"/>
      <c r="AK531" s="4355"/>
      <c r="AL531" s="4355"/>
      <c r="AM531" s="4355"/>
      <c r="AN531" s="4355"/>
      <c r="AO531" s="4355"/>
      <c r="AP531" s="4355"/>
      <c r="AQ531" s="4355"/>
      <c r="AR531" s="4355"/>
      <c r="AS531" s="4355"/>
      <c r="AT531" s="4356"/>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2">
        <f t="shared" si="301"/>
        <v>0</v>
      </c>
      <c r="H532" s="4353">
        <f t="shared" si="302"/>
        <v>0</v>
      </c>
      <c r="I532" s="4354"/>
      <c r="J532" s="4354"/>
      <c r="K532" s="4354"/>
      <c r="L532" s="4354"/>
      <c r="M532" s="4354"/>
      <c r="N532" s="4354"/>
      <c r="O532" s="4354"/>
      <c r="P532" s="4354"/>
      <c r="Q532" s="4354"/>
      <c r="R532" s="4354"/>
      <c r="S532" s="4354"/>
      <c r="T532" s="4354"/>
      <c r="U532" s="4354"/>
      <c r="V532" s="4354"/>
      <c r="W532" s="4354"/>
      <c r="X532" s="4354"/>
      <c r="Y532" s="4354"/>
      <c r="Z532" s="4354"/>
      <c r="AA532" s="4354"/>
      <c r="AB532" s="4354"/>
      <c r="AC532" s="403">
        <f t="shared" si="303"/>
        <v>0</v>
      </c>
      <c r="AD532" s="4355"/>
      <c r="AE532" s="4355"/>
      <c r="AF532" s="4355"/>
      <c r="AG532" s="4355"/>
      <c r="AH532" s="4355"/>
      <c r="AI532" s="4355"/>
      <c r="AJ532" s="4355"/>
      <c r="AK532" s="4355"/>
      <c r="AL532" s="4355"/>
      <c r="AM532" s="4355"/>
      <c r="AN532" s="4355"/>
      <c r="AO532" s="4355"/>
      <c r="AP532" s="4355"/>
      <c r="AQ532" s="4355"/>
      <c r="AR532" s="4355"/>
      <c r="AS532" s="4355"/>
      <c r="AT532" s="4356"/>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2">
        <f t="shared" si="301"/>
        <v>0</v>
      </c>
      <c r="H533" s="4353">
        <f t="shared" si="302"/>
        <v>0</v>
      </c>
      <c r="I533" s="4354"/>
      <c r="J533" s="4354"/>
      <c r="K533" s="4354"/>
      <c r="L533" s="4354"/>
      <c r="M533" s="4354"/>
      <c r="N533" s="4354"/>
      <c r="O533" s="4354"/>
      <c r="P533" s="4354"/>
      <c r="Q533" s="4354"/>
      <c r="R533" s="4354"/>
      <c r="S533" s="4354"/>
      <c r="T533" s="4354"/>
      <c r="U533" s="4354"/>
      <c r="V533" s="4354"/>
      <c r="W533" s="4354"/>
      <c r="X533" s="4354"/>
      <c r="Y533" s="4354"/>
      <c r="Z533" s="4354"/>
      <c r="AA533" s="4354"/>
      <c r="AB533" s="4354"/>
      <c r="AC533" s="403">
        <f t="shared" si="303"/>
        <v>0</v>
      </c>
      <c r="AD533" s="4355"/>
      <c r="AE533" s="4355"/>
      <c r="AF533" s="4355"/>
      <c r="AG533" s="4355"/>
      <c r="AH533" s="4355"/>
      <c r="AI533" s="4355"/>
      <c r="AJ533" s="4355"/>
      <c r="AK533" s="4355"/>
      <c r="AL533" s="4355"/>
      <c r="AM533" s="4355"/>
      <c r="AN533" s="4355"/>
      <c r="AO533" s="4355"/>
      <c r="AP533" s="4355"/>
      <c r="AQ533" s="4355"/>
      <c r="AR533" s="4355"/>
      <c r="AS533" s="4355"/>
      <c r="AT533" s="4356"/>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2">
        <f t="shared" si="301"/>
        <v>0</v>
      </c>
      <c r="H534" s="4353">
        <f t="shared" si="302"/>
        <v>0</v>
      </c>
      <c r="I534" s="4354"/>
      <c r="J534" s="4354"/>
      <c r="K534" s="4354"/>
      <c r="L534" s="4354"/>
      <c r="M534" s="4354"/>
      <c r="N534" s="4354"/>
      <c r="O534" s="4354"/>
      <c r="P534" s="4354"/>
      <c r="Q534" s="4354"/>
      <c r="R534" s="4354"/>
      <c r="S534" s="4354"/>
      <c r="T534" s="4354"/>
      <c r="U534" s="4354"/>
      <c r="V534" s="4354"/>
      <c r="W534" s="4354"/>
      <c r="X534" s="4354"/>
      <c r="Y534" s="4354"/>
      <c r="Z534" s="4354"/>
      <c r="AA534" s="4354"/>
      <c r="AB534" s="4354"/>
      <c r="AC534" s="403">
        <f t="shared" si="303"/>
        <v>0</v>
      </c>
      <c r="AD534" s="4355"/>
      <c r="AE534" s="4355"/>
      <c r="AF534" s="4355"/>
      <c r="AG534" s="4355"/>
      <c r="AH534" s="4355"/>
      <c r="AI534" s="4355"/>
      <c r="AJ534" s="4355"/>
      <c r="AK534" s="4355"/>
      <c r="AL534" s="4355"/>
      <c r="AM534" s="4355"/>
      <c r="AN534" s="4355"/>
      <c r="AO534" s="4355"/>
      <c r="AP534" s="4355"/>
      <c r="AQ534" s="4355"/>
      <c r="AR534" s="4355"/>
      <c r="AS534" s="4355"/>
      <c r="AT534" s="4356"/>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2">
        <f t="shared" si="301"/>
        <v>0</v>
      </c>
      <c r="H535" s="4353">
        <f t="shared" si="302"/>
        <v>0</v>
      </c>
      <c r="I535" s="4354"/>
      <c r="J535" s="4354"/>
      <c r="K535" s="4354"/>
      <c r="L535" s="4354"/>
      <c r="M535" s="4354"/>
      <c r="N535" s="4354"/>
      <c r="O535" s="4354"/>
      <c r="P535" s="4354"/>
      <c r="Q535" s="4354"/>
      <c r="R535" s="4354"/>
      <c r="S535" s="4354"/>
      <c r="T535" s="4354"/>
      <c r="U535" s="4354"/>
      <c r="V535" s="4354"/>
      <c r="W535" s="4354"/>
      <c r="X535" s="4354"/>
      <c r="Y535" s="4354"/>
      <c r="Z535" s="4354"/>
      <c r="AA535" s="4354"/>
      <c r="AB535" s="4354"/>
      <c r="AC535" s="403">
        <f t="shared" si="303"/>
        <v>0</v>
      </c>
      <c r="AD535" s="4355"/>
      <c r="AE535" s="4355"/>
      <c r="AF535" s="4355"/>
      <c r="AG535" s="4355"/>
      <c r="AH535" s="4355"/>
      <c r="AI535" s="4355"/>
      <c r="AJ535" s="4355"/>
      <c r="AK535" s="4355"/>
      <c r="AL535" s="4355"/>
      <c r="AM535" s="4355"/>
      <c r="AN535" s="4355"/>
      <c r="AO535" s="4355"/>
      <c r="AP535" s="4355"/>
      <c r="AQ535" s="4355"/>
      <c r="AR535" s="4355"/>
      <c r="AS535" s="4355"/>
      <c r="AT535" s="4356"/>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2">
        <f t="shared" si="301"/>
        <v>0</v>
      </c>
      <c r="H536" s="4353">
        <f t="shared" si="302"/>
        <v>0</v>
      </c>
      <c r="I536" s="4354"/>
      <c r="J536" s="4354"/>
      <c r="K536" s="4354"/>
      <c r="L536" s="4354"/>
      <c r="M536" s="4354"/>
      <c r="N536" s="4354"/>
      <c r="O536" s="4354"/>
      <c r="P536" s="4354"/>
      <c r="Q536" s="4354"/>
      <c r="R536" s="4354"/>
      <c r="S536" s="4354"/>
      <c r="T536" s="4354"/>
      <c r="U536" s="4354"/>
      <c r="V536" s="4354"/>
      <c r="W536" s="4354"/>
      <c r="X536" s="4354"/>
      <c r="Y536" s="4354"/>
      <c r="Z536" s="4354"/>
      <c r="AA536" s="4354"/>
      <c r="AB536" s="4354"/>
      <c r="AC536" s="403">
        <f t="shared" si="303"/>
        <v>0</v>
      </c>
      <c r="AD536" s="4355"/>
      <c r="AE536" s="4355"/>
      <c r="AF536" s="4355"/>
      <c r="AG536" s="4355"/>
      <c r="AH536" s="4355"/>
      <c r="AI536" s="4355"/>
      <c r="AJ536" s="4355"/>
      <c r="AK536" s="4355"/>
      <c r="AL536" s="4355"/>
      <c r="AM536" s="4355"/>
      <c r="AN536" s="4355"/>
      <c r="AO536" s="4355"/>
      <c r="AP536" s="4355"/>
      <c r="AQ536" s="4355"/>
      <c r="AR536" s="4355"/>
      <c r="AS536" s="4355"/>
      <c r="AT536" s="4356"/>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2">
        <f t="shared" si="301"/>
        <v>0</v>
      </c>
      <c r="H537" s="4353">
        <f t="shared" si="302"/>
        <v>0</v>
      </c>
      <c r="I537" s="4354"/>
      <c r="J537" s="4354"/>
      <c r="K537" s="4354"/>
      <c r="L537" s="4354"/>
      <c r="M537" s="4354"/>
      <c r="N537" s="4354"/>
      <c r="O537" s="4354"/>
      <c r="P537" s="4354"/>
      <c r="Q537" s="4354"/>
      <c r="R537" s="4354"/>
      <c r="S537" s="4354"/>
      <c r="T537" s="4354"/>
      <c r="U537" s="4354"/>
      <c r="V537" s="4354"/>
      <c r="W537" s="4354"/>
      <c r="X537" s="4354"/>
      <c r="Y537" s="4354"/>
      <c r="Z537" s="4354"/>
      <c r="AA537" s="4354"/>
      <c r="AB537" s="4354"/>
      <c r="AC537" s="403">
        <f t="shared" si="303"/>
        <v>0</v>
      </c>
      <c r="AD537" s="4355"/>
      <c r="AE537" s="4355"/>
      <c r="AF537" s="4355"/>
      <c r="AG537" s="4355"/>
      <c r="AH537" s="4355"/>
      <c r="AI537" s="4355"/>
      <c r="AJ537" s="4355"/>
      <c r="AK537" s="4355"/>
      <c r="AL537" s="4355"/>
      <c r="AM537" s="4355"/>
      <c r="AN537" s="4355"/>
      <c r="AO537" s="4355"/>
      <c r="AP537" s="4355"/>
      <c r="AQ537" s="4355"/>
      <c r="AR537" s="4355"/>
      <c r="AS537" s="4355"/>
      <c r="AT537" s="4356"/>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2">
        <f t="shared" si="301"/>
        <v>0</v>
      </c>
      <c r="H538" s="4353">
        <f t="shared" si="302"/>
        <v>0</v>
      </c>
      <c r="I538" s="4354"/>
      <c r="J538" s="4354"/>
      <c r="K538" s="4354"/>
      <c r="L538" s="4354"/>
      <c r="M538" s="4354"/>
      <c r="N538" s="4354"/>
      <c r="O538" s="4354"/>
      <c r="P538" s="4354"/>
      <c r="Q538" s="4354"/>
      <c r="R538" s="4354"/>
      <c r="S538" s="4354"/>
      <c r="T538" s="4354"/>
      <c r="U538" s="4354"/>
      <c r="V538" s="4354"/>
      <c r="W538" s="4354"/>
      <c r="X538" s="4354"/>
      <c r="Y538" s="4354"/>
      <c r="Z538" s="4354"/>
      <c r="AA538" s="4354"/>
      <c r="AB538" s="4354"/>
      <c r="AC538" s="403">
        <f t="shared" si="303"/>
        <v>0</v>
      </c>
      <c r="AD538" s="4355"/>
      <c r="AE538" s="4355"/>
      <c r="AF538" s="4355"/>
      <c r="AG538" s="4355"/>
      <c r="AH538" s="4355"/>
      <c r="AI538" s="4355"/>
      <c r="AJ538" s="4355"/>
      <c r="AK538" s="4355"/>
      <c r="AL538" s="4355"/>
      <c r="AM538" s="4355"/>
      <c r="AN538" s="4355"/>
      <c r="AO538" s="4355"/>
      <c r="AP538" s="4355"/>
      <c r="AQ538" s="4355"/>
      <c r="AR538" s="4355"/>
      <c r="AS538" s="4355"/>
      <c r="AT538" s="4356"/>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2">
        <f t="shared" si="301"/>
        <v>0</v>
      </c>
      <c r="H539" s="4353">
        <f t="shared" si="302"/>
        <v>0</v>
      </c>
      <c r="I539" s="4354"/>
      <c r="J539" s="4354"/>
      <c r="K539" s="4354"/>
      <c r="L539" s="4354"/>
      <c r="M539" s="4354"/>
      <c r="N539" s="4354"/>
      <c r="O539" s="4354"/>
      <c r="P539" s="4354"/>
      <c r="Q539" s="4354"/>
      <c r="R539" s="4354"/>
      <c r="S539" s="4354"/>
      <c r="T539" s="4354"/>
      <c r="U539" s="4354"/>
      <c r="V539" s="4354"/>
      <c r="W539" s="4354"/>
      <c r="X539" s="4354"/>
      <c r="Y539" s="4354"/>
      <c r="Z539" s="4354"/>
      <c r="AA539" s="4354"/>
      <c r="AB539" s="4354"/>
      <c r="AC539" s="403">
        <f t="shared" si="303"/>
        <v>0</v>
      </c>
      <c r="AD539" s="4355"/>
      <c r="AE539" s="4355"/>
      <c r="AF539" s="4355"/>
      <c r="AG539" s="4355"/>
      <c r="AH539" s="4355"/>
      <c r="AI539" s="4355"/>
      <c r="AJ539" s="4355"/>
      <c r="AK539" s="4355"/>
      <c r="AL539" s="4355"/>
      <c r="AM539" s="4355"/>
      <c r="AN539" s="4355"/>
      <c r="AO539" s="4355"/>
      <c r="AP539" s="4355"/>
      <c r="AQ539" s="4355"/>
      <c r="AR539" s="4355"/>
      <c r="AS539" s="4355"/>
      <c r="AT539" s="4356"/>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2">
        <f t="shared" si="301"/>
        <v>0</v>
      </c>
      <c r="H540" s="4353">
        <f t="shared" si="302"/>
        <v>0</v>
      </c>
      <c r="I540" s="4354"/>
      <c r="J540" s="4354"/>
      <c r="K540" s="4354"/>
      <c r="L540" s="4354"/>
      <c r="M540" s="4354"/>
      <c r="N540" s="4354"/>
      <c r="O540" s="4354"/>
      <c r="P540" s="4354"/>
      <c r="Q540" s="4354"/>
      <c r="R540" s="4354"/>
      <c r="S540" s="4354"/>
      <c r="T540" s="4354"/>
      <c r="U540" s="4354"/>
      <c r="V540" s="4354"/>
      <c r="W540" s="4354"/>
      <c r="X540" s="4354"/>
      <c r="Y540" s="4354"/>
      <c r="Z540" s="4354"/>
      <c r="AA540" s="4354"/>
      <c r="AB540" s="4354"/>
      <c r="AC540" s="403">
        <f t="shared" si="303"/>
        <v>0</v>
      </c>
      <c r="AD540" s="4355"/>
      <c r="AE540" s="4355"/>
      <c r="AF540" s="4355"/>
      <c r="AG540" s="4355"/>
      <c r="AH540" s="4355"/>
      <c r="AI540" s="4355"/>
      <c r="AJ540" s="4355"/>
      <c r="AK540" s="4355"/>
      <c r="AL540" s="4355"/>
      <c r="AM540" s="4355"/>
      <c r="AN540" s="4355"/>
      <c r="AO540" s="4355"/>
      <c r="AP540" s="4355"/>
      <c r="AQ540" s="4355"/>
      <c r="AR540" s="4355"/>
      <c r="AS540" s="4355"/>
      <c r="AT540" s="4356"/>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2">
        <f t="shared" si="301"/>
        <v>0</v>
      </c>
      <c r="H541" s="4353">
        <f t="shared" si="302"/>
        <v>0</v>
      </c>
      <c r="I541" s="4354"/>
      <c r="J541" s="4354"/>
      <c r="K541" s="4354"/>
      <c r="L541" s="4354"/>
      <c r="M541" s="4354"/>
      <c r="N541" s="4354"/>
      <c r="O541" s="4354"/>
      <c r="P541" s="4354"/>
      <c r="Q541" s="4354"/>
      <c r="R541" s="4354"/>
      <c r="S541" s="4354"/>
      <c r="T541" s="4354"/>
      <c r="U541" s="4354"/>
      <c r="V541" s="4354"/>
      <c r="W541" s="4354"/>
      <c r="X541" s="4354"/>
      <c r="Y541" s="4354"/>
      <c r="Z541" s="4354"/>
      <c r="AA541" s="4354"/>
      <c r="AB541" s="4354"/>
      <c r="AC541" s="403">
        <f t="shared" si="303"/>
        <v>0</v>
      </c>
      <c r="AD541" s="4355"/>
      <c r="AE541" s="4355"/>
      <c r="AF541" s="4355"/>
      <c r="AG541" s="4355"/>
      <c r="AH541" s="4355"/>
      <c r="AI541" s="4355"/>
      <c r="AJ541" s="4355"/>
      <c r="AK541" s="4355"/>
      <c r="AL541" s="4355"/>
      <c r="AM541" s="4355"/>
      <c r="AN541" s="4355"/>
      <c r="AO541" s="4355"/>
      <c r="AP541" s="4355"/>
      <c r="AQ541" s="4355"/>
      <c r="AR541" s="4355"/>
      <c r="AS541" s="4355"/>
      <c r="AT541" s="4356"/>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2">
        <f t="shared" si="301"/>
        <v>0</v>
      </c>
      <c r="H542" s="4353">
        <f t="shared" si="302"/>
        <v>0</v>
      </c>
      <c r="I542" s="4354"/>
      <c r="J542" s="4354"/>
      <c r="K542" s="4354"/>
      <c r="L542" s="4354"/>
      <c r="M542" s="4354"/>
      <c r="N542" s="4354"/>
      <c r="O542" s="4354"/>
      <c r="P542" s="4354"/>
      <c r="Q542" s="4354"/>
      <c r="R542" s="4354"/>
      <c r="S542" s="4354"/>
      <c r="T542" s="4354"/>
      <c r="U542" s="4354"/>
      <c r="V542" s="4354"/>
      <c r="W542" s="4354"/>
      <c r="X542" s="4354"/>
      <c r="Y542" s="4354"/>
      <c r="Z542" s="4354"/>
      <c r="AA542" s="4354"/>
      <c r="AB542" s="4354"/>
      <c r="AC542" s="403">
        <f t="shared" si="303"/>
        <v>0</v>
      </c>
      <c r="AD542" s="4355"/>
      <c r="AE542" s="4355"/>
      <c r="AF542" s="4355"/>
      <c r="AG542" s="4355"/>
      <c r="AH542" s="4355"/>
      <c r="AI542" s="4355"/>
      <c r="AJ542" s="4355"/>
      <c r="AK542" s="4355"/>
      <c r="AL542" s="4355"/>
      <c r="AM542" s="4355"/>
      <c r="AN542" s="4355"/>
      <c r="AO542" s="4355"/>
      <c r="AP542" s="4355"/>
      <c r="AQ542" s="4355"/>
      <c r="AR542" s="4355"/>
      <c r="AS542" s="4355"/>
      <c r="AT542" s="4356"/>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2">
        <f t="shared" si="301"/>
        <v>0</v>
      </c>
      <c r="H543" s="4353">
        <f t="shared" si="302"/>
        <v>0</v>
      </c>
      <c r="I543" s="4354"/>
      <c r="J543" s="4354"/>
      <c r="K543" s="4354"/>
      <c r="L543" s="4354"/>
      <c r="M543" s="4354"/>
      <c r="N543" s="4354"/>
      <c r="O543" s="4354"/>
      <c r="P543" s="4354"/>
      <c r="Q543" s="4354"/>
      <c r="R543" s="4354"/>
      <c r="S543" s="4354"/>
      <c r="T543" s="4354"/>
      <c r="U543" s="4354"/>
      <c r="V543" s="4354"/>
      <c r="W543" s="4354"/>
      <c r="X543" s="4354"/>
      <c r="Y543" s="4354"/>
      <c r="Z543" s="4354"/>
      <c r="AA543" s="4354"/>
      <c r="AB543" s="4354"/>
      <c r="AC543" s="403">
        <f t="shared" si="303"/>
        <v>0</v>
      </c>
      <c r="AD543" s="4355"/>
      <c r="AE543" s="4355"/>
      <c r="AF543" s="4355"/>
      <c r="AG543" s="4355"/>
      <c r="AH543" s="4355"/>
      <c r="AI543" s="4355"/>
      <c r="AJ543" s="4355"/>
      <c r="AK543" s="4355"/>
      <c r="AL543" s="4355"/>
      <c r="AM543" s="4355"/>
      <c r="AN543" s="4355"/>
      <c r="AO543" s="4355"/>
      <c r="AP543" s="4355"/>
      <c r="AQ543" s="4355"/>
      <c r="AR543" s="4355"/>
      <c r="AS543" s="4355"/>
      <c r="AT543" s="4356"/>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2">
        <f t="shared" si="301"/>
        <v>0</v>
      </c>
      <c r="H544" s="4353">
        <f t="shared" si="302"/>
        <v>0</v>
      </c>
      <c r="I544" s="4354"/>
      <c r="J544" s="4354"/>
      <c r="K544" s="4354"/>
      <c r="L544" s="4354"/>
      <c r="M544" s="4354"/>
      <c r="N544" s="4354"/>
      <c r="O544" s="4354"/>
      <c r="P544" s="4354"/>
      <c r="Q544" s="4354"/>
      <c r="R544" s="4354"/>
      <c r="S544" s="4354"/>
      <c r="T544" s="4354"/>
      <c r="U544" s="4354"/>
      <c r="V544" s="4354"/>
      <c r="W544" s="4354"/>
      <c r="X544" s="4354"/>
      <c r="Y544" s="4354"/>
      <c r="Z544" s="4354"/>
      <c r="AA544" s="4354"/>
      <c r="AB544" s="4354"/>
      <c r="AC544" s="403">
        <f t="shared" si="303"/>
        <v>0</v>
      </c>
      <c r="AD544" s="4355"/>
      <c r="AE544" s="4355"/>
      <c r="AF544" s="4355"/>
      <c r="AG544" s="4355"/>
      <c r="AH544" s="4355"/>
      <c r="AI544" s="4355"/>
      <c r="AJ544" s="4355"/>
      <c r="AK544" s="4355"/>
      <c r="AL544" s="4355"/>
      <c r="AM544" s="4355"/>
      <c r="AN544" s="4355"/>
      <c r="AO544" s="4355"/>
      <c r="AP544" s="4355"/>
      <c r="AQ544" s="4355"/>
      <c r="AR544" s="4355"/>
      <c r="AS544" s="4355"/>
      <c r="AT544" s="4356"/>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2">
        <f t="shared" si="301"/>
        <v>0</v>
      </c>
      <c r="H545" s="4353">
        <f t="shared" si="302"/>
        <v>0</v>
      </c>
      <c r="I545" s="4354"/>
      <c r="J545" s="4354"/>
      <c r="K545" s="4354"/>
      <c r="L545" s="4354"/>
      <c r="M545" s="4354"/>
      <c r="N545" s="4354"/>
      <c r="O545" s="4354"/>
      <c r="P545" s="4354"/>
      <c r="Q545" s="4354"/>
      <c r="R545" s="4354"/>
      <c r="S545" s="4354"/>
      <c r="T545" s="4354"/>
      <c r="U545" s="4354"/>
      <c r="V545" s="4354"/>
      <c r="W545" s="4354"/>
      <c r="X545" s="4354"/>
      <c r="Y545" s="4354"/>
      <c r="Z545" s="4354"/>
      <c r="AA545" s="4354"/>
      <c r="AB545" s="4354"/>
      <c r="AC545" s="403">
        <f t="shared" si="303"/>
        <v>0</v>
      </c>
      <c r="AD545" s="4355"/>
      <c r="AE545" s="4355"/>
      <c r="AF545" s="4355"/>
      <c r="AG545" s="4355"/>
      <c r="AH545" s="4355"/>
      <c r="AI545" s="4355"/>
      <c r="AJ545" s="4355"/>
      <c r="AK545" s="4355"/>
      <c r="AL545" s="4355"/>
      <c r="AM545" s="4355"/>
      <c r="AN545" s="4355"/>
      <c r="AO545" s="4355"/>
      <c r="AP545" s="4355"/>
      <c r="AQ545" s="4355"/>
      <c r="AR545" s="4355"/>
      <c r="AS545" s="4355"/>
      <c r="AT545" s="4356"/>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2">
        <f t="shared" si="301"/>
        <v>0</v>
      </c>
      <c r="H546" s="4353">
        <f t="shared" si="302"/>
        <v>0</v>
      </c>
      <c r="I546" s="4354"/>
      <c r="J546" s="4354"/>
      <c r="K546" s="4354"/>
      <c r="L546" s="4354"/>
      <c r="M546" s="4354"/>
      <c r="N546" s="4354"/>
      <c r="O546" s="4354"/>
      <c r="P546" s="4354"/>
      <c r="Q546" s="4354"/>
      <c r="R546" s="4354"/>
      <c r="S546" s="4354"/>
      <c r="T546" s="4354"/>
      <c r="U546" s="4354"/>
      <c r="V546" s="4354"/>
      <c r="W546" s="4354"/>
      <c r="X546" s="4354"/>
      <c r="Y546" s="4354"/>
      <c r="Z546" s="4354"/>
      <c r="AA546" s="4354"/>
      <c r="AB546" s="4354"/>
      <c r="AC546" s="403">
        <f t="shared" si="303"/>
        <v>0</v>
      </c>
      <c r="AD546" s="4355"/>
      <c r="AE546" s="4355"/>
      <c r="AF546" s="4355"/>
      <c r="AG546" s="4355"/>
      <c r="AH546" s="4355"/>
      <c r="AI546" s="4355"/>
      <c r="AJ546" s="4355"/>
      <c r="AK546" s="4355"/>
      <c r="AL546" s="4355"/>
      <c r="AM546" s="4355"/>
      <c r="AN546" s="4355"/>
      <c r="AO546" s="4355"/>
      <c r="AP546" s="4355"/>
      <c r="AQ546" s="4355"/>
      <c r="AR546" s="4355"/>
      <c r="AS546" s="4355"/>
      <c r="AT546" s="4356"/>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2">
        <f t="shared" si="301"/>
        <v>0</v>
      </c>
      <c r="H547" s="4353">
        <f t="shared" si="302"/>
        <v>0</v>
      </c>
      <c r="I547" s="4354"/>
      <c r="J547" s="4354"/>
      <c r="K547" s="4354"/>
      <c r="L547" s="4354"/>
      <c r="M547" s="4354"/>
      <c r="N547" s="4354"/>
      <c r="O547" s="4354"/>
      <c r="P547" s="4354"/>
      <c r="Q547" s="4354"/>
      <c r="R547" s="4354"/>
      <c r="S547" s="4354"/>
      <c r="T547" s="4354"/>
      <c r="U547" s="4354"/>
      <c r="V547" s="4354"/>
      <c r="W547" s="4354"/>
      <c r="X547" s="4354"/>
      <c r="Y547" s="4354"/>
      <c r="Z547" s="4354"/>
      <c r="AA547" s="4354"/>
      <c r="AB547" s="4354"/>
      <c r="AC547" s="403">
        <f t="shared" si="303"/>
        <v>0</v>
      </c>
      <c r="AD547" s="4355"/>
      <c r="AE547" s="4355"/>
      <c r="AF547" s="4355"/>
      <c r="AG547" s="4355"/>
      <c r="AH547" s="4355"/>
      <c r="AI547" s="4355"/>
      <c r="AJ547" s="4355"/>
      <c r="AK547" s="4355"/>
      <c r="AL547" s="4355"/>
      <c r="AM547" s="4355"/>
      <c r="AN547" s="4355"/>
      <c r="AO547" s="4355"/>
      <c r="AP547" s="4355"/>
      <c r="AQ547" s="4355"/>
      <c r="AR547" s="4355"/>
      <c r="AS547" s="4355"/>
      <c r="AT547" s="4356"/>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2">
        <f t="shared" si="301"/>
        <v>0</v>
      </c>
      <c r="H548" s="4353">
        <f t="shared" si="302"/>
        <v>0</v>
      </c>
      <c r="I548" s="4354"/>
      <c r="J548" s="4354"/>
      <c r="K548" s="4354"/>
      <c r="L548" s="4354"/>
      <c r="M548" s="4354"/>
      <c r="N548" s="4354"/>
      <c r="O548" s="4354"/>
      <c r="P548" s="4354"/>
      <c r="Q548" s="4354"/>
      <c r="R548" s="4354"/>
      <c r="S548" s="4354"/>
      <c r="T548" s="4354"/>
      <c r="U548" s="4354"/>
      <c r="V548" s="4354"/>
      <c r="W548" s="4354"/>
      <c r="X548" s="4354"/>
      <c r="Y548" s="4354"/>
      <c r="Z548" s="4354"/>
      <c r="AA548" s="4354"/>
      <c r="AB548" s="4354"/>
      <c r="AC548" s="403">
        <f t="shared" si="303"/>
        <v>0</v>
      </c>
      <c r="AD548" s="4355"/>
      <c r="AE548" s="4355"/>
      <c r="AF548" s="4355"/>
      <c r="AG548" s="4355"/>
      <c r="AH548" s="4355"/>
      <c r="AI548" s="4355"/>
      <c r="AJ548" s="4355"/>
      <c r="AK548" s="4355"/>
      <c r="AL548" s="4355"/>
      <c r="AM548" s="4355"/>
      <c r="AN548" s="4355"/>
      <c r="AO548" s="4355"/>
      <c r="AP548" s="4355"/>
      <c r="AQ548" s="4355"/>
      <c r="AR548" s="4355"/>
      <c r="AS548" s="4355"/>
      <c r="AT548" s="4356"/>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2">
        <f t="shared" si="301"/>
        <v>0</v>
      </c>
      <c r="H549" s="4353">
        <f t="shared" si="302"/>
        <v>0</v>
      </c>
      <c r="I549" s="4354"/>
      <c r="J549" s="4354"/>
      <c r="K549" s="4354"/>
      <c r="L549" s="4354"/>
      <c r="M549" s="4354"/>
      <c r="N549" s="4354"/>
      <c r="O549" s="4354"/>
      <c r="P549" s="4354"/>
      <c r="Q549" s="4354"/>
      <c r="R549" s="4354"/>
      <c r="S549" s="4354"/>
      <c r="T549" s="4354"/>
      <c r="U549" s="4354"/>
      <c r="V549" s="4354"/>
      <c r="W549" s="4354"/>
      <c r="X549" s="4354"/>
      <c r="Y549" s="4354"/>
      <c r="Z549" s="4354"/>
      <c r="AA549" s="4354"/>
      <c r="AB549" s="4354"/>
      <c r="AC549" s="403">
        <f t="shared" si="303"/>
        <v>0</v>
      </c>
      <c r="AD549" s="4355"/>
      <c r="AE549" s="4355"/>
      <c r="AF549" s="4355"/>
      <c r="AG549" s="4355"/>
      <c r="AH549" s="4355"/>
      <c r="AI549" s="4355"/>
      <c r="AJ549" s="4355"/>
      <c r="AK549" s="4355"/>
      <c r="AL549" s="4355"/>
      <c r="AM549" s="4355"/>
      <c r="AN549" s="4355"/>
      <c r="AO549" s="4355"/>
      <c r="AP549" s="4355"/>
      <c r="AQ549" s="4355"/>
      <c r="AR549" s="4355"/>
      <c r="AS549" s="4355"/>
      <c r="AT549" s="4356"/>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2">
        <f t="shared" si="301"/>
        <v>0</v>
      </c>
      <c r="H550" s="4353">
        <f t="shared" si="302"/>
        <v>0</v>
      </c>
      <c r="I550" s="4354"/>
      <c r="J550" s="4354"/>
      <c r="K550" s="4354"/>
      <c r="L550" s="4354"/>
      <c r="M550" s="4354"/>
      <c r="N550" s="4354"/>
      <c r="O550" s="4354"/>
      <c r="P550" s="4354"/>
      <c r="Q550" s="4354"/>
      <c r="R550" s="4354"/>
      <c r="S550" s="4354"/>
      <c r="T550" s="4354"/>
      <c r="U550" s="4354"/>
      <c r="V550" s="4354"/>
      <c r="W550" s="4354"/>
      <c r="X550" s="4354"/>
      <c r="Y550" s="4354"/>
      <c r="Z550" s="4354"/>
      <c r="AA550" s="4354"/>
      <c r="AB550" s="4354"/>
      <c r="AC550" s="403">
        <f t="shared" si="303"/>
        <v>0</v>
      </c>
      <c r="AD550" s="4355"/>
      <c r="AE550" s="4355"/>
      <c r="AF550" s="4355"/>
      <c r="AG550" s="4355"/>
      <c r="AH550" s="4355"/>
      <c r="AI550" s="4355"/>
      <c r="AJ550" s="4355"/>
      <c r="AK550" s="4355"/>
      <c r="AL550" s="4355"/>
      <c r="AM550" s="4355"/>
      <c r="AN550" s="4355"/>
      <c r="AO550" s="4355"/>
      <c r="AP550" s="4355"/>
      <c r="AQ550" s="4355"/>
      <c r="AR550" s="4355"/>
      <c r="AS550" s="4355"/>
      <c r="AT550" s="4356"/>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2">
        <f t="shared" si="301"/>
        <v>0</v>
      </c>
      <c r="H551" s="4353">
        <f t="shared" si="302"/>
        <v>0</v>
      </c>
      <c r="I551" s="4354"/>
      <c r="J551" s="4354"/>
      <c r="K551" s="4354"/>
      <c r="L551" s="4354"/>
      <c r="M551" s="4354"/>
      <c r="N551" s="4354"/>
      <c r="O551" s="4354"/>
      <c r="P551" s="4354"/>
      <c r="Q551" s="4354"/>
      <c r="R551" s="4354"/>
      <c r="S551" s="4354"/>
      <c r="T551" s="4354"/>
      <c r="U551" s="4354"/>
      <c r="V551" s="4354"/>
      <c r="W551" s="4354"/>
      <c r="X551" s="4354"/>
      <c r="Y551" s="4354"/>
      <c r="Z551" s="4354"/>
      <c r="AA551" s="4354"/>
      <c r="AB551" s="4354"/>
      <c r="AC551" s="403">
        <f t="shared" si="303"/>
        <v>0</v>
      </c>
      <c r="AD551" s="4355"/>
      <c r="AE551" s="4355"/>
      <c r="AF551" s="4355"/>
      <c r="AG551" s="4355"/>
      <c r="AH551" s="4355"/>
      <c r="AI551" s="4355"/>
      <c r="AJ551" s="4355"/>
      <c r="AK551" s="4355"/>
      <c r="AL551" s="4355"/>
      <c r="AM551" s="4355"/>
      <c r="AN551" s="4355"/>
      <c r="AO551" s="4355"/>
      <c r="AP551" s="4355"/>
      <c r="AQ551" s="4355"/>
      <c r="AR551" s="4355"/>
      <c r="AS551" s="4355"/>
      <c r="AT551" s="4356"/>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2">
        <f t="shared" si="301"/>
        <v>0</v>
      </c>
      <c r="H552" s="4353">
        <f t="shared" si="302"/>
        <v>0</v>
      </c>
      <c r="I552" s="4354"/>
      <c r="J552" s="4354"/>
      <c r="K552" s="4354"/>
      <c r="L552" s="4354"/>
      <c r="M552" s="4354"/>
      <c r="N552" s="4354"/>
      <c r="O552" s="4354"/>
      <c r="P552" s="4354"/>
      <c r="Q552" s="4354"/>
      <c r="R552" s="4354"/>
      <c r="S552" s="4354"/>
      <c r="T552" s="4354"/>
      <c r="U552" s="4354"/>
      <c r="V552" s="4354"/>
      <c r="W552" s="4354"/>
      <c r="X552" s="4354"/>
      <c r="Y552" s="4354"/>
      <c r="Z552" s="4354"/>
      <c r="AA552" s="4354"/>
      <c r="AB552" s="4354"/>
      <c r="AC552" s="403">
        <f t="shared" si="303"/>
        <v>0</v>
      </c>
      <c r="AD552" s="4355"/>
      <c r="AE552" s="4355"/>
      <c r="AF552" s="4355"/>
      <c r="AG552" s="4355"/>
      <c r="AH552" s="4355"/>
      <c r="AI552" s="4355"/>
      <c r="AJ552" s="4355"/>
      <c r="AK552" s="4355"/>
      <c r="AL552" s="4355"/>
      <c r="AM552" s="4355"/>
      <c r="AN552" s="4355"/>
      <c r="AO552" s="4355"/>
      <c r="AP552" s="4355"/>
      <c r="AQ552" s="4355"/>
      <c r="AR552" s="4355"/>
      <c r="AS552" s="4355"/>
      <c r="AT552" s="4356"/>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2">
        <f t="shared" ref="G553:G584" si="327">H553+AC553+AT553</f>
        <v>0</v>
      </c>
      <c r="H553" s="4353">
        <f t="shared" ref="H553:H584" si="328">SUMIF(I$12:AB$12,"总值",I553:AB553)</f>
        <v>0</v>
      </c>
      <c r="I553" s="4354"/>
      <c r="J553" s="4354"/>
      <c r="K553" s="4354"/>
      <c r="L553" s="4354"/>
      <c r="M553" s="4354"/>
      <c r="N553" s="4354"/>
      <c r="O553" s="4354"/>
      <c r="P553" s="4354"/>
      <c r="Q553" s="4354"/>
      <c r="R553" s="4354"/>
      <c r="S553" s="4354"/>
      <c r="T553" s="4354"/>
      <c r="U553" s="4354"/>
      <c r="V553" s="4354"/>
      <c r="W553" s="4354"/>
      <c r="X553" s="4354"/>
      <c r="Y553" s="4354"/>
      <c r="Z553" s="4354"/>
      <c r="AA553" s="4354"/>
      <c r="AB553" s="4354"/>
      <c r="AC553" s="403">
        <f t="shared" ref="AC553:AC584" si="329">SUMIF(AD$12:AS$12,"总值",AD553:AS553)</f>
        <v>0</v>
      </c>
      <c r="AD553" s="4355"/>
      <c r="AE553" s="4355"/>
      <c r="AF553" s="4355"/>
      <c r="AG553" s="4355"/>
      <c r="AH553" s="4355"/>
      <c r="AI553" s="4355"/>
      <c r="AJ553" s="4355"/>
      <c r="AK553" s="4355"/>
      <c r="AL553" s="4355"/>
      <c r="AM553" s="4355"/>
      <c r="AN553" s="4355"/>
      <c r="AO553" s="4355"/>
      <c r="AP553" s="4355"/>
      <c r="AQ553" s="4355"/>
      <c r="AR553" s="4355"/>
      <c r="AS553" s="4355"/>
      <c r="AT553" s="4356"/>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2">
        <f t="shared" si="327"/>
        <v>0</v>
      </c>
      <c r="H554" s="4353">
        <f t="shared" si="328"/>
        <v>0</v>
      </c>
      <c r="I554" s="4354"/>
      <c r="J554" s="4354"/>
      <c r="K554" s="4354"/>
      <c r="L554" s="4354"/>
      <c r="M554" s="4354"/>
      <c r="N554" s="4354"/>
      <c r="O554" s="4354"/>
      <c r="P554" s="4354"/>
      <c r="Q554" s="4354"/>
      <c r="R554" s="4354"/>
      <c r="S554" s="4354"/>
      <c r="T554" s="4354"/>
      <c r="U554" s="4354"/>
      <c r="V554" s="4354"/>
      <c r="W554" s="4354"/>
      <c r="X554" s="4354"/>
      <c r="Y554" s="4354"/>
      <c r="Z554" s="4354"/>
      <c r="AA554" s="4354"/>
      <c r="AB554" s="4354"/>
      <c r="AC554" s="403">
        <f t="shared" si="329"/>
        <v>0</v>
      </c>
      <c r="AD554" s="4355"/>
      <c r="AE554" s="4355"/>
      <c r="AF554" s="4355"/>
      <c r="AG554" s="4355"/>
      <c r="AH554" s="4355"/>
      <c r="AI554" s="4355"/>
      <c r="AJ554" s="4355"/>
      <c r="AK554" s="4355"/>
      <c r="AL554" s="4355"/>
      <c r="AM554" s="4355"/>
      <c r="AN554" s="4355"/>
      <c r="AO554" s="4355"/>
      <c r="AP554" s="4355"/>
      <c r="AQ554" s="4355"/>
      <c r="AR554" s="4355"/>
      <c r="AS554" s="4355"/>
      <c r="AT554" s="4356"/>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2">
        <f t="shared" si="327"/>
        <v>0</v>
      </c>
      <c r="H555" s="4353">
        <f t="shared" si="328"/>
        <v>0</v>
      </c>
      <c r="I555" s="4354"/>
      <c r="J555" s="4354"/>
      <c r="K555" s="4354"/>
      <c r="L555" s="4354"/>
      <c r="M555" s="4354"/>
      <c r="N555" s="4354"/>
      <c r="O555" s="4354"/>
      <c r="P555" s="4354"/>
      <c r="Q555" s="4354"/>
      <c r="R555" s="4354"/>
      <c r="S555" s="4354"/>
      <c r="T555" s="4354"/>
      <c r="U555" s="4354"/>
      <c r="V555" s="4354"/>
      <c r="W555" s="4354"/>
      <c r="X555" s="4354"/>
      <c r="Y555" s="4354"/>
      <c r="Z555" s="4354"/>
      <c r="AA555" s="4354"/>
      <c r="AB555" s="4354"/>
      <c r="AC555" s="403">
        <f t="shared" si="329"/>
        <v>0</v>
      </c>
      <c r="AD555" s="4355"/>
      <c r="AE555" s="4355"/>
      <c r="AF555" s="4355"/>
      <c r="AG555" s="4355"/>
      <c r="AH555" s="4355"/>
      <c r="AI555" s="4355"/>
      <c r="AJ555" s="4355"/>
      <c r="AK555" s="4355"/>
      <c r="AL555" s="4355"/>
      <c r="AM555" s="4355"/>
      <c r="AN555" s="4355"/>
      <c r="AO555" s="4355"/>
      <c r="AP555" s="4355"/>
      <c r="AQ555" s="4355"/>
      <c r="AR555" s="4355"/>
      <c r="AS555" s="4355"/>
      <c r="AT555" s="4356"/>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2">
        <f t="shared" si="327"/>
        <v>0</v>
      </c>
      <c r="H556" s="4353">
        <f t="shared" si="328"/>
        <v>0</v>
      </c>
      <c r="I556" s="4354"/>
      <c r="J556" s="4354"/>
      <c r="K556" s="4354"/>
      <c r="L556" s="4354"/>
      <c r="M556" s="4354"/>
      <c r="N556" s="4354"/>
      <c r="O556" s="4354"/>
      <c r="P556" s="4354"/>
      <c r="Q556" s="4354"/>
      <c r="R556" s="4354"/>
      <c r="S556" s="4354"/>
      <c r="T556" s="4354"/>
      <c r="U556" s="4354"/>
      <c r="V556" s="4354"/>
      <c r="W556" s="4354"/>
      <c r="X556" s="4354"/>
      <c r="Y556" s="4354"/>
      <c r="Z556" s="4354"/>
      <c r="AA556" s="4354"/>
      <c r="AB556" s="4354"/>
      <c r="AC556" s="403">
        <f t="shared" si="329"/>
        <v>0</v>
      </c>
      <c r="AD556" s="4355"/>
      <c r="AE556" s="4355"/>
      <c r="AF556" s="4355"/>
      <c r="AG556" s="4355"/>
      <c r="AH556" s="4355"/>
      <c r="AI556" s="4355"/>
      <c r="AJ556" s="4355"/>
      <c r="AK556" s="4355"/>
      <c r="AL556" s="4355"/>
      <c r="AM556" s="4355"/>
      <c r="AN556" s="4355"/>
      <c r="AO556" s="4355"/>
      <c r="AP556" s="4355"/>
      <c r="AQ556" s="4355"/>
      <c r="AR556" s="4355"/>
      <c r="AS556" s="4355"/>
      <c r="AT556" s="4356"/>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2">
        <f t="shared" si="327"/>
        <v>0</v>
      </c>
      <c r="H557" s="4353">
        <f t="shared" si="328"/>
        <v>0</v>
      </c>
      <c r="I557" s="4354"/>
      <c r="J557" s="4354"/>
      <c r="K557" s="4354"/>
      <c r="L557" s="4354"/>
      <c r="M557" s="4354"/>
      <c r="N557" s="4354"/>
      <c r="O557" s="4354"/>
      <c r="P557" s="4354"/>
      <c r="Q557" s="4354"/>
      <c r="R557" s="4354"/>
      <c r="S557" s="4354"/>
      <c r="T557" s="4354"/>
      <c r="U557" s="4354"/>
      <c r="V557" s="4354"/>
      <c r="W557" s="4354"/>
      <c r="X557" s="4354"/>
      <c r="Y557" s="4354"/>
      <c r="Z557" s="4354"/>
      <c r="AA557" s="4354"/>
      <c r="AB557" s="4354"/>
      <c r="AC557" s="403">
        <f t="shared" si="329"/>
        <v>0</v>
      </c>
      <c r="AD557" s="4355"/>
      <c r="AE557" s="4355"/>
      <c r="AF557" s="4355"/>
      <c r="AG557" s="4355"/>
      <c r="AH557" s="4355"/>
      <c r="AI557" s="4355"/>
      <c r="AJ557" s="4355"/>
      <c r="AK557" s="4355"/>
      <c r="AL557" s="4355"/>
      <c r="AM557" s="4355"/>
      <c r="AN557" s="4355"/>
      <c r="AO557" s="4355"/>
      <c r="AP557" s="4355"/>
      <c r="AQ557" s="4355"/>
      <c r="AR557" s="4355"/>
      <c r="AS557" s="4355"/>
      <c r="AT557" s="4356"/>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2">
        <f t="shared" si="327"/>
        <v>0</v>
      </c>
      <c r="H558" s="4353">
        <f t="shared" si="328"/>
        <v>0</v>
      </c>
      <c r="I558" s="4354"/>
      <c r="J558" s="4354"/>
      <c r="K558" s="4354"/>
      <c r="L558" s="4354"/>
      <c r="M558" s="4354"/>
      <c r="N558" s="4354"/>
      <c r="O558" s="4354"/>
      <c r="P558" s="4354"/>
      <c r="Q558" s="4354"/>
      <c r="R558" s="4354"/>
      <c r="S558" s="4354"/>
      <c r="T558" s="4354"/>
      <c r="U558" s="4354"/>
      <c r="V558" s="4354"/>
      <c r="W558" s="4354"/>
      <c r="X558" s="4354"/>
      <c r="Y558" s="4354"/>
      <c r="Z558" s="4354"/>
      <c r="AA558" s="4354"/>
      <c r="AB558" s="4354"/>
      <c r="AC558" s="403">
        <f t="shared" si="329"/>
        <v>0</v>
      </c>
      <c r="AD558" s="4355"/>
      <c r="AE558" s="4355"/>
      <c r="AF558" s="4355"/>
      <c r="AG558" s="4355"/>
      <c r="AH558" s="4355"/>
      <c r="AI558" s="4355"/>
      <c r="AJ558" s="4355"/>
      <c r="AK558" s="4355"/>
      <c r="AL558" s="4355"/>
      <c r="AM558" s="4355"/>
      <c r="AN558" s="4355"/>
      <c r="AO558" s="4355"/>
      <c r="AP558" s="4355"/>
      <c r="AQ558" s="4355"/>
      <c r="AR558" s="4355"/>
      <c r="AS558" s="4355"/>
      <c r="AT558" s="4356"/>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2">
        <f t="shared" si="327"/>
        <v>0</v>
      </c>
      <c r="H559" s="4353">
        <f t="shared" si="328"/>
        <v>0</v>
      </c>
      <c r="I559" s="4354"/>
      <c r="J559" s="4354"/>
      <c r="K559" s="4354"/>
      <c r="L559" s="4354"/>
      <c r="M559" s="4354"/>
      <c r="N559" s="4354"/>
      <c r="O559" s="4354"/>
      <c r="P559" s="4354"/>
      <c r="Q559" s="4354"/>
      <c r="R559" s="4354"/>
      <c r="S559" s="4354"/>
      <c r="T559" s="4354"/>
      <c r="U559" s="4354"/>
      <c r="V559" s="4354"/>
      <c r="W559" s="4354"/>
      <c r="X559" s="4354"/>
      <c r="Y559" s="4354"/>
      <c r="Z559" s="4354"/>
      <c r="AA559" s="4354"/>
      <c r="AB559" s="4354"/>
      <c r="AC559" s="403">
        <f t="shared" si="329"/>
        <v>0</v>
      </c>
      <c r="AD559" s="4355"/>
      <c r="AE559" s="4355"/>
      <c r="AF559" s="4355"/>
      <c r="AG559" s="4355"/>
      <c r="AH559" s="4355"/>
      <c r="AI559" s="4355"/>
      <c r="AJ559" s="4355"/>
      <c r="AK559" s="4355"/>
      <c r="AL559" s="4355"/>
      <c r="AM559" s="4355"/>
      <c r="AN559" s="4355"/>
      <c r="AO559" s="4355"/>
      <c r="AP559" s="4355"/>
      <c r="AQ559" s="4355"/>
      <c r="AR559" s="4355"/>
      <c r="AS559" s="4355"/>
      <c r="AT559" s="4356"/>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2">
        <f t="shared" si="327"/>
        <v>0</v>
      </c>
      <c r="H560" s="4353">
        <f t="shared" si="328"/>
        <v>0</v>
      </c>
      <c r="I560" s="4354"/>
      <c r="J560" s="4354"/>
      <c r="K560" s="4354"/>
      <c r="L560" s="4354"/>
      <c r="M560" s="4354"/>
      <c r="N560" s="4354"/>
      <c r="O560" s="4354"/>
      <c r="P560" s="4354"/>
      <c r="Q560" s="4354"/>
      <c r="R560" s="4354"/>
      <c r="S560" s="4354"/>
      <c r="T560" s="4354"/>
      <c r="U560" s="4354"/>
      <c r="V560" s="4354"/>
      <c r="W560" s="4354"/>
      <c r="X560" s="4354"/>
      <c r="Y560" s="4354"/>
      <c r="Z560" s="4354"/>
      <c r="AA560" s="4354"/>
      <c r="AB560" s="4354"/>
      <c r="AC560" s="403">
        <f t="shared" si="329"/>
        <v>0</v>
      </c>
      <c r="AD560" s="4355"/>
      <c r="AE560" s="4355"/>
      <c r="AF560" s="4355"/>
      <c r="AG560" s="4355"/>
      <c r="AH560" s="4355"/>
      <c r="AI560" s="4355"/>
      <c r="AJ560" s="4355"/>
      <c r="AK560" s="4355"/>
      <c r="AL560" s="4355"/>
      <c r="AM560" s="4355"/>
      <c r="AN560" s="4355"/>
      <c r="AO560" s="4355"/>
      <c r="AP560" s="4355"/>
      <c r="AQ560" s="4355"/>
      <c r="AR560" s="4355"/>
      <c r="AS560" s="4355"/>
      <c r="AT560" s="4356"/>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2">
        <f t="shared" si="327"/>
        <v>0</v>
      </c>
      <c r="H561" s="4353">
        <f t="shared" si="328"/>
        <v>0</v>
      </c>
      <c r="I561" s="4354"/>
      <c r="J561" s="4354"/>
      <c r="K561" s="4354"/>
      <c r="L561" s="4354"/>
      <c r="M561" s="4354"/>
      <c r="N561" s="4354"/>
      <c r="O561" s="4354"/>
      <c r="P561" s="4354"/>
      <c r="Q561" s="4354"/>
      <c r="R561" s="4354"/>
      <c r="S561" s="4354"/>
      <c r="T561" s="4354"/>
      <c r="U561" s="4354"/>
      <c r="V561" s="4354"/>
      <c r="W561" s="4354"/>
      <c r="X561" s="4354"/>
      <c r="Y561" s="4354"/>
      <c r="Z561" s="4354"/>
      <c r="AA561" s="4354"/>
      <c r="AB561" s="4354"/>
      <c r="AC561" s="403">
        <f t="shared" si="329"/>
        <v>0</v>
      </c>
      <c r="AD561" s="4355"/>
      <c r="AE561" s="4355"/>
      <c r="AF561" s="4355"/>
      <c r="AG561" s="4355"/>
      <c r="AH561" s="4355"/>
      <c r="AI561" s="4355"/>
      <c r="AJ561" s="4355"/>
      <c r="AK561" s="4355"/>
      <c r="AL561" s="4355"/>
      <c r="AM561" s="4355"/>
      <c r="AN561" s="4355"/>
      <c r="AO561" s="4355"/>
      <c r="AP561" s="4355"/>
      <c r="AQ561" s="4355"/>
      <c r="AR561" s="4355"/>
      <c r="AS561" s="4355"/>
      <c r="AT561" s="4356"/>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2">
        <f t="shared" si="327"/>
        <v>0</v>
      </c>
      <c r="H562" s="4353">
        <f t="shared" si="328"/>
        <v>0</v>
      </c>
      <c r="I562" s="4354"/>
      <c r="J562" s="4354"/>
      <c r="K562" s="4354"/>
      <c r="L562" s="4354"/>
      <c r="M562" s="4354"/>
      <c r="N562" s="4354"/>
      <c r="O562" s="4354"/>
      <c r="P562" s="4354"/>
      <c r="Q562" s="4354"/>
      <c r="R562" s="4354"/>
      <c r="S562" s="4354"/>
      <c r="T562" s="4354"/>
      <c r="U562" s="4354"/>
      <c r="V562" s="4354"/>
      <c r="W562" s="4354"/>
      <c r="X562" s="4354"/>
      <c r="Y562" s="4354"/>
      <c r="Z562" s="4354"/>
      <c r="AA562" s="4354"/>
      <c r="AB562" s="4354"/>
      <c r="AC562" s="403">
        <f t="shared" si="329"/>
        <v>0</v>
      </c>
      <c r="AD562" s="4355"/>
      <c r="AE562" s="4355"/>
      <c r="AF562" s="4355"/>
      <c r="AG562" s="4355"/>
      <c r="AH562" s="4355"/>
      <c r="AI562" s="4355"/>
      <c r="AJ562" s="4355"/>
      <c r="AK562" s="4355"/>
      <c r="AL562" s="4355"/>
      <c r="AM562" s="4355"/>
      <c r="AN562" s="4355"/>
      <c r="AO562" s="4355"/>
      <c r="AP562" s="4355"/>
      <c r="AQ562" s="4355"/>
      <c r="AR562" s="4355"/>
      <c r="AS562" s="4355"/>
      <c r="AT562" s="4356"/>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2">
        <f t="shared" si="327"/>
        <v>0</v>
      </c>
      <c r="H563" s="4353">
        <f t="shared" si="328"/>
        <v>0</v>
      </c>
      <c r="I563" s="4354"/>
      <c r="J563" s="4354"/>
      <c r="K563" s="4354"/>
      <c r="L563" s="4354"/>
      <c r="M563" s="4354"/>
      <c r="N563" s="4354"/>
      <c r="O563" s="4354"/>
      <c r="P563" s="4354"/>
      <c r="Q563" s="4354"/>
      <c r="R563" s="4354"/>
      <c r="S563" s="4354"/>
      <c r="T563" s="4354"/>
      <c r="U563" s="4354"/>
      <c r="V563" s="4354"/>
      <c r="W563" s="4354"/>
      <c r="X563" s="4354"/>
      <c r="Y563" s="4354"/>
      <c r="Z563" s="4354"/>
      <c r="AA563" s="4354"/>
      <c r="AB563" s="4354"/>
      <c r="AC563" s="403">
        <f t="shared" si="329"/>
        <v>0</v>
      </c>
      <c r="AD563" s="4355"/>
      <c r="AE563" s="4355"/>
      <c r="AF563" s="4355"/>
      <c r="AG563" s="4355"/>
      <c r="AH563" s="4355"/>
      <c r="AI563" s="4355"/>
      <c r="AJ563" s="4355"/>
      <c r="AK563" s="4355"/>
      <c r="AL563" s="4355"/>
      <c r="AM563" s="4355"/>
      <c r="AN563" s="4355"/>
      <c r="AO563" s="4355"/>
      <c r="AP563" s="4355"/>
      <c r="AQ563" s="4355"/>
      <c r="AR563" s="4355"/>
      <c r="AS563" s="4355"/>
      <c r="AT563" s="4356"/>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2">
        <f t="shared" si="327"/>
        <v>0</v>
      </c>
      <c r="H564" s="4353">
        <f t="shared" si="328"/>
        <v>0</v>
      </c>
      <c r="I564" s="4354"/>
      <c r="J564" s="4354"/>
      <c r="K564" s="4354"/>
      <c r="L564" s="4354"/>
      <c r="M564" s="4354"/>
      <c r="N564" s="4354"/>
      <c r="O564" s="4354"/>
      <c r="P564" s="4354"/>
      <c r="Q564" s="4354"/>
      <c r="R564" s="4354"/>
      <c r="S564" s="4354"/>
      <c r="T564" s="4354"/>
      <c r="U564" s="4354"/>
      <c r="V564" s="4354"/>
      <c r="W564" s="4354"/>
      <c r="X564" s="4354"/>
      <c r="Y564" s="4354"/>
      <c r="Z564" s="4354"/>
      <c r="AA564" s="4354"/>
      <c r="AB564" s="4354"/>
      <c r="AC564" s="403">
        <f t="shared" si="329"/>
        <v>0</v>
      </c>
      <c r="AD564" s="4355"/>
      <c r="AE564" s="4355"/>
      <c r="AF564" s="4355"/>
      <c r="AG564" s="4355"/>
      <c r="AH564" s="4355"/>
      <c r="AI564" s="4355"/>
      <c r="AJ564" s="4355"/>
      <c r="AK564" s="4355"/>
      <c r="AL564" s="4355"/>
      <c r="AM564" s="4355"/>
      <c r="AN564" s="4355"/>
      <c r="AO564" s="4355"/>
      <c r="AP564" s="4355"/>
      <c r="AQ564" s="4355"/>
      <c r="AR564" s="4355"/>
      <c r="AS564" s="4355"/>
      <c r="AT564" s="4356"/>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2">
        <f t="shared" si="327"/>
        <v>0</v>
      </c>
      <c r="H565" s="4353">
        <f t="shared" si="328"/>
        <v>0</v>
      </c>
      <c r="I565" s="4354"/>
      <c r="J565" s="4354"/>
      <c r="K565" s="4354"/>
      <c r="L565" s="4354"/>
      <c r="M565" s="4354"/>
      <c r="N565" s="4354"/>
      <c r="O565" s="4354"/>
      <c r="P565" s="4354"/>
      <c r="Q565" s="4354"/>
      <c r="R565" s="4354"/>
      <c r="S565" s="4354"/>
      <c r="T565" s="4354"/>
      <c r="U565" s="4354"/>
      <c r="V565" s="4354"/>
      <c r="W565" s="4354"/>
      <c r="X565" s="4354"/>
      <c r="Y565" s="4354"/>
      <c r="Z565" s="4354"/>
      <c r="AA565" s="4354"/>
      <c r="AB565" s="4354"/>
      <c r="AC565" s="403">
        <f t="shared" si="329"/>
        <v>0</v>
      </c>
      <c r="AD565" s="4355"/>
      <c r="AE565" s="4355"/>
      <c r="AF565" s="4355"/>
      <c r="AG565" s="4355"/>
      <c r="AH565" s="4355"/>
      <c r="AI565" s="4355"/>
      <c r="AJ565" s="4355"/>
      <c r="AK565" s="4355"/>
      <c r="AL565" s="4355"/>
      <c r="AM565" s="4355"/>
      <c r="AN565" s="4355"/>
      <c r="AO565" s="4355"/>
      <c r="AP565" s="4355"/>
      <c r="AQ565" s="4355"/>
      <c r="AR565" s="4355"/>
      <c r="AS565" s="4355"/>
      <c r="AT565" s="4356"/>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2">
        <f t="shared" si="327"/>
        <v>0</v>
      </c>
      <c r="H566" s="4353">
        <f t="shared" si="328"/>
        <v>0</v>
      </c>
      <c r="I566" s="4354"/>
      <c r="J566" s="4354"/>
      <c r="K566" s="4354"/>
      <c r="L566" s="4354"/>
      <c r="M566" s="4354"/>
      <c r="N566" s="4354"/>
      <c r="O566" s="4354"/>
      <c r="P566" s="4354"/>
      <c r="Q566" s="4354"/>
      <c r="R566" s="4354"/>
      <c r="S566" s="4354"/>
      <c r="T566" s="4354"/>
      <c r="U566" s="4354"/>
      <c r="V566" s="4354"/>
      <c r="W566" s="4354"/>
      <c r="X566" s="4354"/>
      <c r="Y566" s="4354"/>
      <c r="Z566" s="4354"/>
      <c r="AA566" s="4354"/>
      <c r="AB566" s="4354"/>
      <c r="AC566" s="403">
        <f t="shared" si="329"/>
        <v>0</v>
      </c>
      <c r="AD566" s="4355"/>
      <c r="AE566" s="4355"/>
      <c r="AF566" s="4355"/>
      <c r="AG566" s="4355"/>
      <c r="AH566" s="4355"/>
      <c r="AI566" s="4355"/>
      <c r="AJ566" s="4355"/>
      <c r="AK566" s="4355"/>
      <c r="AL566" s="4355"/>
      <c r="AM566" s="4355"/>
      <c r="AN566" s="4355"/>
      <c r="AO566" s="4355"/>
      <c r="AP566" s="4355"/>
      <c r="AQ566" s="4355"/>
      <c r="AR566" s="4355"/>
      <c r="AS566" s="4355"/>
      <c r="AT566" s="4356"/>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2">
        <f t="shared" si="327"/>
        <v>0</v>
      </c>
      <c r="H567" s="4353">
        <f t="shared" si="328"/>
        <v>0</v>
      </c>
      <c r="I567" s="4354"/>
      <c r="J567" s="4354"/>
      <c r="K567" s="4354"/>
      <c r="L567" s="4354"/>
      <c r="M567" s="4354"/>
      <c r="N567" s="4354"/>
      <c r="O567" s="4354"/>
      <c r="P567" s="4354"/>
      <c r="Q567" s="4354"/>
      <c r="R567" s="4354"/>
      <c r="S567" s="4354"/>
      <c r="T567" s="4354"/>
      <c r="U567" s="4354"/>
      <c r="V567" s="4354"/>
      <c r="W567" s="4354"/>
      <c r="X567" s="4354"/>
      <c r="Y567" s="4354"/>
      <c r="Z567" s="4354"/>
      <c r="AA567" s="4354"/>
      <c r="AB567" s="4354"/>
      <c r="AC567" s="403">
        <f t="shared" si="329"/>
        <v>0</v>
      </c>
      <c r="AD567" s="4355"/>
      <c r="AE567" s="4355"/>
      <c r="AF567" s="4355"/>
      <c r="AG567" s="4355"/>
      <c r="AH567" s="4355"/>
      <c r="AI567" s="4355"/>
      <c r="AJ567" s="4355"/>
      <c r="AK567" s="4355"/>
      <c r="AL567" s="4355"/>
      <c r="AM567" s="4355"/>
      <c r="AN567" s="4355"/>
      <c r="AO567" s="4355"/>
      <c r="AP567" s="4355"/>
      <c r="AQ567" s="4355"/>
      <c r="AR567" s="4355"/>
      <c r="AS567" s="4355"/>
      <c r="AT567" s="4356"/>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2">
        <f t="shared" si="327"/>
        <v>0</v>
      </c>
      <c r="H568" s="4353">
        <f t="shared" si="328"/>
        <v>0</v>
      </c>
      <c r="I568" s="4354"/>
      <c r="J568" s="4354"/>
      <c r="K568" s="4354"/>
      <c r="L568" s="4354"/>
      <c r="M568" s="4354"/>
      <c r="N568" s="4354"/>
      <c r="O568" s="4354"/>
      <c r="P568" s="4354"/>
      <c r="Q568" s="4354"/>
      <c r="R568" s="4354"/>
      <c r="S568" s="4354"/>
      <c r="T568" s="4354"/>
      <c r="U568" s="4354"/>
      <c r="V568" s="4354"/>
      <c r="W568" s="4354"/>
      <c r="X568" s="4354"/>
      <c r="Y568" s="4354"/>
      <c r="Z568" s="4354"/>
      <c r="AA568" s="4354"/>
      <c r="AB568" s="4354"/>
      <c r="AC568" s="403">
        <f t="shared" si="329"/>
        <v>0</v>
      </c>
      <c r="AD568" s="4355"/>
      <c r="AE568" s="4355"/>
      <c r="AF568" s="4355"/>
      <c r="AG568" s="4355"/>
      <c r="AH568" s="4355"/>
      <c r="AI568" s="4355"/>
      <c r="AJ568" s="4355"/>
      <c r="AK568" s="4355"/>
      <c r="AL568" s="4355"/>
      <c r="AM568" s="4355"/>
      <c r="AN568" s="4355"/>
      <c r="AO568" s="4355"/>
      <c r="AP568" s="4355"/>
      <c r="AQ568" s="4355"/>
      <c r="AR568" s="4355"/>
      <c r="AS568" s="4355"/>
      <c r="AT568" s="4356"/>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2">
        <f t="shared" si="327"/>
        <v>0</v>
      </c>
      <c r="H569" s="4353">
        <f t="shared" si="328"/>
        <v>0</v>
      </c>
      <c r="I569" s="4354"/>
      <c r="J569" s="4354"/>
      <c r="K569" s="4354"/>
      <c r="L569" s="4354"/>
      <c r="M569" s="4354"/>
      <c r="N569" s="4354"/>
      <c r="O569" s="4354"/>
      <c r="P569" s="4354"/>
      <c r="Q569" s="4354"/>
      <c r="R569" s="4354"/>
      <c r="S569" s="4354"/>
      <c r="T569" s="4354"/>
      <c r="U569" s="4354"/>
      <c r="V569" s="4354"/>
      <c r="W569" s="4354"/>
      <c r="X569" s="4354"/>
      <c r="Y569" s="4354"/>
      <c r="Z569" s="4354"/>
      <c r="AA569" s="4354"/>
      <c r="AB569" s="4354"/>
      <c r="AC569" s="403">
        <f t="shared" si="329"/>
        <v>0</v>
      </c>
      <c r="AD569" s="4355"/>
      <c r="AE569" s="4355"/>
      <c r="AF569" s="4355"/>
      <c r="AG569" s="4355"/>
      <c r="AH569" s="4355"/>
      <c r="AI569" s="4355"/>
      <c r="AJ569" s="4355"/>
      <c r="AK569" s="4355"/>
      <c r="AL569" s="4355"/>
      <c r="AM569" s="4355"/>
      <c r="AN569" s="4355"/>
      <c r="AO569" s="4355"/>
      <c r="AP569" s="4355"/>
      <c r="AQ569" s="4355"/>
      <c r="AR569" s="4355"/>
      <c r="AS569" s="4355"/>
      <c r="AT569" s="4356"/>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2">
        <f t="shared" si="327"/>
        <v>0</v>
      </c>
      <c r="H570" s="4353">
        <f t="shared" si="328"/>
        <v>0</v>
      </c>
      <c r="I570" s="4354"/>
      <c r="J570" s="4354"/>
      <c r="K570" s="4354"/>
      <c r="L570" s="4354"/>
      <c r="M570" s="4354"/>
      <c r="N570" s="4354"/>
      <c r="O570" s="4354"/>
      <c r="P570" s="4354"/>
      <c r="Q570" s="4354"/>
      <c r="R570" s="4354"/>
      <c r="S570" s="4354"/>
      <c r="T570" s="4354"/>
      <c r="U570" s="4354"/>
      <c r="V570" s="4354"/>
      <c r="W570" s="4354"/>
      <c r="X570" s="4354"/>
      <c r="Y570" s="4354"/>
      <c r="Z570" s="4354"/>
      <c r="AA570" s="4354"/>
      <c r="AB570" s="4354"/>
      <c r="AC570" s="403">
        <f t="shared" si="329"/>
        <v>0</v>
      </c>
      <c r="AD570" s="4355"/>
      <c r="AE570" s="4355"/>
      <c r="AF570" s="4355"/>
      <c r="AG570" s="4355"/>
      <c r="AH570" s="4355"/>
      <c r="AI570" s="4355"/>
      <c r="AJ570" s="4355"/>
      <c r="AK570" s="4355"/>
      <c r="AL570" s="4355"/>
      <c r="AM570" s="4355"/>
      <c r="AN570" s="4355"/>
      <c r="AO570" s="4355"/>
      <c r="AP570" s="4355"/>
      <c r="AQ570" s="4355"/>
      <c r="AR570" s="4355"/>
      <c r="AS570" s="4355"/>
      <c r="AT570" s="4356"/>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2">
        <f t="shared" si="327"/>
        <v>0</v>
      </c>
      <c r="H571" s="4353">
        <f t="shared" si="328"/>
        <v>0</v>
      </c>
      <c r="I571" s="4354"/>
      <c r="J571" s="4354"/>
      <c r="K571" s="4354"/>
      <c r="L571" s="4354"/>
      <c r="M571" s="4354"/>
      <c r="N571" s="4354"/>
      <c r="O571" s="4354"/>
      <c r="P571" s="4354"/>
      <c r="Q571" s="4354"/>
      <c r="R571" s="4354"/>
      <c r="S571" s="4354"/>
      <c r="T571" s="4354"/>
      <c r="U571" s="4354"/>
      <c r="V571" s="4354"/>
      <c r="W571" s="4354"/>
      <c r="X571" s="4354"/>
      <c r="Y571" s="4354"/>
      <c r="Z571" s="4354"/>
      <c r="AA571" s="4354"/>
      <c r="AB571" s="4354"/>
      <c r="AC571" s="403">
        <f t="shared" si="329"/>
        <v>0</v>
      </c>
      <c r="AD571" s="4355"/>
      <c r="AE571" s="4355"/>
      <c r="AF571" s="4355"/>
      <c r="AG571" s="4355"/>
      <c r="AH571" s="4355"/>
      <c r="AI571" s="4355"/>
      <c r="AJ571" s="4355"/>
      <c r="AK571" s="4355"/>
      <c r="AL571" s="4355"/>
      <c r="AM571" s="4355"/>
      <c r="AN571" s="4355"/>
      <c r="AO571" s="4355"/>
      <c r="AP571" s="4355"/>
      <c r="AQ571" s="4355"/>
      <c r="AR571" s="4355"/>
      <c r="AS571" s="4355"/>
      <c r="AT571" s="4356"/>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2">
        <f t="shared" si="327"/>
        <v>0</v>
      </c>
      <c r="H572" s="4353">
        <f t="shared" si="328"/>
        <v>0</v>
      </c>
      <c r="I572" s="4354"/>
      <c r="J572" s="4354"/>
      <c r="K572" s="4354"/>
      <c r="L572" s="4354"/>
      <c r="M572" s="4354"/>
      <c r="N572" s="4354"/>
      <c r="O572" s="4354"/>
      <c r="P572" s="4354"/>
      <c r="Q572" s="4354"/>
      <c r="R572" s="4354"/>
      <c r="S572" s="4354"/>
      <c r="T572" s="4354"/>
      <c r="U572" s="4354"/>
      <c r="V572" s="4354"/>
      <c r="W572" s="4354"/>
      <c r="X572" s="4354"/>
      <c r="Y572" s="4354"/>
      <c r="Z572" s="4354"/>
      <c r="AA572" s="4354"/>
      <c r="AB572" s="4354"/>
      <c r="AC572" s="403">
        <f t="shared" si="329"/>
        <v>0</v>
      </c>
      <c r="AD572" s="4355"/>
      <c r="AE572" s="4355"/>
      <c r="AF572" s="4355"/>
      <c r="AG572" s="4355"/>
      <c r="AH572" s="4355"/>
      <c r="AI572" s="4355"/>
      <c r="AJ572" s="4355"/>
      <c r="AK572" s="4355"/>
      <c r="AL572" s="4355"/>
      <c r="AM572" s="4355"/>
      <c r="AN572" s="4355"/>
      <c r="AO572" s="4355"/>
      <c r="AP572" s="4355"/>
      <c r="AQ572" s="4355"/>
      <c r="AR572" s="4355"/>
      <c r="AS572" s="4355"/>
      <c r="AT572" s="4356"/>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2">
        <f t="shared" si="327"/>
        <v>0</v>
      </c>
      <c r="H573" s="4353">
        <f t="shared" si="328"/>
        <v>0</v>
      </c>
      <c r="I573" s="4354"/>
      <c r="J573" s="4354"/>
      <c r="K573" s="4354"/>
      <c r="L573" s="4354"/>
      <c r="M573" s="4354"/>
      <c r="N573" s="4354"/>
      <c r="O573" s="4354"/>
      <c r="P573" s="4354"/>
      <c r="Q573" s="4354"/>
      <c r="R573" s="4354"/>
      <c r="S573" s="4354"/>
      <c r="T573" s="4354"/>
      <c r="U573" s="4354"/>
      <c r="V573" s="4354"/>
      <c r="W573" s="4354"/>
      <c r="X573" s="4354"/>
      <c r="Y573" s="4354"/>
      <c r="Z573" s="4354"/>
      <c r="AA573" s="4354"/>
      <c r="AB573" s="4354"/>
      <c r="AC573" s="403">
        <f t="shared" si="329"/>
        <v>0</v>
      </c>
      <c r="AD573" s="4355"/>
      <c r="AE573" s="4355"/>
      <c r="AF573" s="4355"/>
      <c r="AG573" s="4355"/>
      <c r="AH573" s="4355"/>
      <c r="AI573" s="4355"/>
      <c r="AJ573" s="4355"/>
      <c r="AK573" s="4355"/>
      <c r="AL573" s="4355"/>
      <c r="AM573" s="4355"/>
      <c r="AN573" s="4355"/>
      <c r="AO573" s="4355"/>
      <c r="AP573" s="4355"/>
      <c r="AQ573" s="4355"/>
      <c r="AR573" s="4355"/>
      <c r="AS573" s="4355"/>
      <c r="AT573" s="4356"/>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2">
        <f t="shared" si="327"/>
        <v>0</v>
      </c>
      <c r="H574" s="4353">
        <f t="shared" si="328"/>
        <v>0</v>
      </c>
      <c r="I574" s="4354"/>
      <c r="J574" s="4354"/>
      <c r="K574" s="4354"/>
      <c r="L574" s="4354"/>
      <c r="M574" s="4354"/>
      <c r="N574" s="4354"/>
      <c r="O574" s="4354"/>
      <c r="P574" s="4354"/>
      <c r="Q574" s="4354"/>
      <c r="R574" s="4354"/>
      <c r="S574" s="4354"/>
      <c r="T574" s="4354"/>
      <c r="U574" s="4354"/>
      <c r="V574" s="4354"/>
      <c r="W574" s="4354"/>
      <c r="X574" s="4354"/>
      <c r="Y574" s="4354"/>
      <c r="Z574" s="4354"/>
      <c r="AA574" s="4354"/>
      <c r="AB574" s="4354"/>
      <c r="AC574" s="403">
        <f t="shared" si="329"/>
        <v>0</v>
      </c>
      <c r="AD574" s="4355"/>
      <c r="AE574" s="4355"/>
      <c r="AF574" s="4355"/>
      <c r="AG574" s="4355"/>
      <c r="AH574" s="4355"/>
      <c r="AI574" s="4355"/>
      <c r="AJ574" s="4355"/>
      <c r="AK574" s="4355"/>
      <c r="AL574" s="4355"/>
      <c r="AM574" s="4355"/>
      <c r="AN574" s="4355"/>
      <c r="AO574" s="4355"/>
      <c r="AP574" s="4355"/>
      <c r="AQ574" s="4355"/>
      <c r="AR574" s="4355"/>
      <c r="AS574" s="4355"/>
      <c r="AT574" s="4356"/>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2">
        <f t="shared" si="327"/>
        <v>0</v>
      </c>
      <c r="H575" s="4353">
        <f t="shared" si="328"/>
        <v>0</v>
      </c>
      <c r="I575" s="4354"/>
      <c r="J575" s="4354"/>
      <c r="K575" s="4354"/>
      <c r="L575" s="4354"/>
      <c r="M575" s="4354"/>
      <c r="N575" s="4354"/>
      <c r="O575" s="4354"/>
      <c r="P575" s="4354"/>
      <c r="Q575" s="4354"/>
      <c r="R575" s="4354"/>
      <c r="S575" s="4354"/>
      <c r="T575" s="4354"/>
      <c r="U575" s="4354"/>
      <c r="V575" s="4354"/>
      <c r="W575" s="4354"/>
      <c r="X575" s="4354"/>
      <c r="Y575" s="4354"/>
      <c r="Z575" s="4354"/>
      <c r="AA575" s="4354"/>
      <c r="AB575" s="4354"/>
      <c r="AC575" s="403">
        <f t="shared" si="329"/>
        <v>0</v>
      </c>
      <c r="AD575" s="4355"/>
      <c r="AE575" s="4355"/>
      <c r="AF575" s="4355"/>
      <c r="AG575" s="4355"/>
      <c r="AH575" s="4355"/>
      <c r="AI575" s="4355"/>
      <c r="AJ575" s="4355"/>
      <c r="AK575" s="4355"/>
      <c r="AL575" s="4355"/>
      <c r="AM575" s="4355"/>
      <c r="AN575" s="4355"/>
      <c r="AO575" s="4355"/>
      <c r="AP575" s="4355"/>
      <c r="AQ575" s="4355"/>
      <c r="AR575" s="4355"/>
      <c r="AS575" s="4355"/>
      <c r="AT575" s="4356"/>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2">
        <f t="shared" si="327"/>
        <v>0</v>
      </c>
      <c r="H576" s="4353">
        <f t="shared" si="328"/>
        <v>0</v>
      </c>
      <c r="I576" s="4354"/>
      <c r="J576" s="4354"/>
      <c r="K576" s="4354"/>
      <c r="L576" s="4354"/>
      <c r="M576" s="4354"/>
      <c r="N576" s="4354"/>
      <c r="O576" s="4354"/>
      <c r="P576" s="4354"/>
      <c r="Q576" s="4354"/>
      <c r="R576" s="4354"/>
      <c r="S576" s="4354"/>
      <c r="T576" s="4354"/>
      <c r="U576" s="4354"/>
      <c r="V576" s="4354"/>
      <c r="W576" s="4354"/>
      <c r="X576" s="4354"/>
      <c r="Y576" s="4354"/>
      <c r="Z576" s="4354"/>
      <c r="AA576" s="4354"/>
      <c r="AB576" s="4354"/>
      <c r="AC576" s="403">
        <f t="shared" si="329"/>
        <v>0</v>
      </c>
      <c r="AD576" s="4355"/>
      <c r="AE576" s="4355"/>
      <c r="AF576" s="4355"/>
      <c r="AG576" s="4355"/>
      <c r="AH576" s="4355"/>
      <c r="AI576" s="4355"/>
      <c r="AJ576" s="4355"/>
      <c r="AK576" s="4355"/>
      <c r="AL576" s="4355"/>
      <c r="AM576" s="4355"/>
      <c r="AN576" s="4355"/>
      <c r="AO576" s="4355"/>
      <c r="AP576" s="4355"/>
      <c r="AQ576" s="4355"/>
      <c r="AR576" s="4355"/>
      <c r="AS576" s="4355"/>
      <c r="AT576" s="4356"/>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2">
        <f t="shared" si="327"/>
        <v>0</v>
      </c>
      <c r="H577" s="4353">
        <f t="shared" si="328"/>
        <v>0</v>
      </c>
      <c r="I577" s="4354"/>
      <c r="J577" s="4354"/>
      <c r="K577" s="4354"/>
      <c r="L577" s="4354"/>
      <c r="M577" s="4354"/>
      <c r="N577" s="4354"/>
      <c r="O577" s="4354"/>
      <c r="P577" s="4354"/>
      <c r="Q577" s="4354"/>
      <c r="R577" s="4354"/>
      <c r="S577" s="4354"/>
      <c r="T577" s="4354"/>
      <c r="U577" s="4354"/>
      <c r="V577" s="4354"/>
      <c r="W577" s="4354"/>
      <c r="X577" s="4354"/>
      <c r="Y577" s="4354"/>
      <c r="Z577" s="4354"/>
      <c r="AA577" s="4354"/>
      <c r="AB577" s="4354"/>
      <c r="AC577" s="403">
        <f t="shared" si="329"/>
        <v>0</v>
      </c>
      <c r="AD577" s="4355"/>
      <c r="AE577" s="4355"/>
      <c r="AF577" s="4355"/>
      <c r="AG577" s="4355"/>
      <c r="AH577" s="4355"/>
      <c r="AI577" s="4355"/>
      <c r="AJ577" s="4355"/>
      <c r="AK577" s="4355"/>
      <c r="AL577" s="4355"/>
      <c r="AM577" s="4355"/>
      <c r="AN577" s="4355"/>
      <c r="AO577" s="4355"/>
      <c r="AP577" s="4355"/>
      <c r="AQ577" s="4355"/>
      <c r="AR577" s="4355"/>
      <c r="AS577" s="4355"/>
      <c r="AT577" s="4356"/>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2">
        <f t="shared" si="327"/>
        <v>0</v>
      </c>
      <c r="H578" s="4353">
        <f t="shared" si="328"/>
        <v>0</v>
      </c>
      <c r="I578" s="4354"/>
      <c r="J578" s="4354"/>
      <c r="K578" s="4354"/>
      <c r="L578" s="4354"/>
      <c r="M578" s="4354"/>
      <c r="N578" s="4354"/>
      <c r="O578" s="4354"/>
      <c r="P578" s="4354"/>
      <c r="Q578" s="4354"/>
      <c r="R578" s="4354"/>
      <c r="S578" s="4354"/>
      <c r="T578" s="4354"/>
      <c r="U578" s="4354"/>
      <c r="V578" s="4354"/>
      <c r="W578" s="4354"/>
      <c r="X578" s="4354"/>
      <c r="Y578" s="4354"/>
      <c r="Z578" s="4354"/>
      <c r="AA578" s="4354"/>
      <c r="AB578" s="4354"/>
      <c r="AC578" s="403">
        <f t="shared" si="329"/>
        <v>0</v>
      </c>
      <c r="AD578" s="4355"/>
      <c r="AE578" s="4355"/>
      <c r="AF578" s="4355"/>
      <c r="AG578" s="4355"/>
      <c r="AH578" s="4355"/>
      <c r="AI578" s="4355"/>
      <c r="AJ578" s="4355"/>
      <c r="AK578" s="4355"/>
      <c r="AL578" s="4355"/>
      <c r="AM578" s="4355"/>
      <c r="AN578" s="4355"/>
      <c r="AO578" s="4355"/>
      <c r="AP578" s="4355"/>
      <c r="AQ578" s="4355"/>
      <c r="AR578" s="4355"/>
      <c r="AS578" s="4355"/>
      <c r="AT578" s="4356"/>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2">
        <f t="shared" si="327"/>
        <v>0</v>
      </c>
      <c r="H579" s="4353">
        <f t="shared" si="328"/>
        <v>0</v>
      </c>
      <c r="I579" s="4354"/>
      <c r="J579" s="4354"/>
      <c r="K579" s="4354"/>
      <c r="L579" s="4354"/>
      <c r="M579" s="4354"/>
      <c r="N579" s="4354"/>
      <c r="O579" s="4354"/>
      <c r="P579" s="4354"/>
      <c r="Q579" s="4354"/>
      <c r="R579" s="4354"/>
      <c r="S579" s="4354"/>
      <c r="T579" s="4354"/>
      <c r="U579" s="4354"/>
      <c r="V579" s="4354"/>
      <c r="W579" s="4354"/>
      <c r="X579" s="4354"/>
      <c r="Y579" s="4354"/>
      <c r="Z579" s="4354"/>
      <c r="AA579" s="4354"/>
      <c r="AB579" s="4354"/>
      <c r="AC579" s="403">
        <f t="shared" si="329"/>
        <v>0</v>
      </c>
      <c r="AD579" s="4355"/>
      <c r="AE579" s="4355"/>
      <c r="AF579" s="4355"/>
      <c r="AG579" s="4355"/>
      <c r="AH579" s="4355"/>
      <c r="AI579" s="4355"/>
      <c r="AJ579" s="4355"/>
      <c r="AK579" s="4355"/>
      <c r="AL579" s="4355"/>
      <c r="AM579" s="4355"/>
      <c r="AN579" s="4355"/>
      <c r="AO579" s="4355"/>
      <c r="AP579" s="4355"/>
      <c r="AQ579" s="4355"/>
      <c r="AR579" s="4355"/>
      <c r="AS579" s="4355"/>
      <c r="AT579" s="4356"/>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2">
        <f t="shared" si="327"/>
        <v>0</v>
      </c>
      <c r="H580" s="4353">
        <f t="shared" si="328"/>
        <v>0</v>
      </c>
      <c r="I580" s="4354"/>
      <c r="J580" s="4354"/>
      <c r="K580" s="4354"/>
      <c r="L580" s="4354"/>
      <c r="M580" s="4354"/>
      <c r="N580" s="4354"/>
      <c r="O580" s="4354"/>
      <c r="P580" s="4354"/>
      <c r="Q580" s="4354"/>
      <c r="R580" s="4354"/>
      <c r="S580" s="4354"/>
      <c r="T580" s="4354"/>
      <c r="U580" s="4354"/>
      <c r="V580" s="4354"/>
      <c r="W580" s="4354"/>
      <c r="X580" s="4354"/>
      <c r="Y580" s="4354"/>
      <c r="Z580" s="4354"/>
      <c r="AA580" s="4354"/>
      <c r="AB580" s="4354"/>
      <c r="AC580" s="403">
        <f t="shared" si="329"/>
        <v>0</v>
      </c>
      <c r="AD580" s="4355"/>
      <c r="AE580" s="4355"/>
      <c r="AF580" s="4355"/>
      <c r="AG580" s="4355"/>
      <c r="AH580" s="4355"/>
      <c r="AI580" s="4355"/>
      <c r="AJ580" s="4355"/>
      <c r="AK580" s="4355"/>
      <c r="AL580" s="4355"/>
      <c r="AM580" s="4355"/>
      <c r="AN580" s="4355"/>
      <c r="AO580" s="4355"/>
      <c r="AP580" s="4355"/>
      <c r="AQ580" s="4355"/>
      <c r="AR580" s="4355"/>
      <c r="AS580" s="4355"/>
      <c r="AT580" s="4356"/>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2">
        <f t="shared" si="327"/>
        <v>0</v>
      </c>
      <c r="H581" s="4353">
        <f t="shared" si="328"/>
        <v>0</v>
      </c>
      <c r="I581" s="4354"/>
      <c r="J581" s="4354"/>
      <c r="K581" s="4354"/>
      <c r="L581" s="4354"/>
      <c r="M581" s="4354"/>
      <c r="N581" s="4354"/>
      <c r="O581" s="4354"/>
      <c r="P581" s="4354"/>
      <c r="Q581" s="4354"/>
      <c r="R581" s="4354"/>
      <c r="S581" s="4354"/>
      <c r="T581" s="4354"/>
      <c r="U581" s="4354"/>
      <c r="V581" s="4354"/>
      <c r="W581" s="4354"/>
      <c r="X581" s="4354"/>
      <c r="Y581" s="4354"/>
      <c r="Z581" s="4354"/>
      <c r="AA581" s="4354"/>
      <c r="AB581" s="4354"/>
      <c r="AC581" s="403">
        <f t="shared" si="329"/>
        <v>0</v>
      </c>
      <c r="AD581" s="4355"/>
      <c r="AE581" s="4355"/>
      <c r="AF581" s="4355"/>
      <c r="AG581" s="4355"/>
      <c r="AH581" s="4355"/>
      <c r="AI581" s="4355"/>
      <c r="AJ581" s="4355"/>
      <c r="AK581" s="4355"/>
      <c r="AL581" s="4355"/>
      <c r="AM581" s="4355"/>
      <c r="AN581" s="4355"/>
      <c r="AO581" s="4355"/>
      <c r="AP581" s="4355"/>
      <c r="AQ581" s="4355"/>
      <c r="AR581" s="4355"/>
      <c r="AS581" s="4355"/>
      <c r="AT581" s="4356"/>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2">
        <f t="shared" si="327"/>
        <v>0</v>
      </c>
      <c r="H582" s="4353">
        <f t="shared" si="328"/>
        <v>0</v>
      </c>
      <c r="I582" s="4354"/>
      <c r="J582" s="4354"/>
      <c r="K582" s="4354"/>
      <c r="L582" s="4354"/>
      <c r="M582" s="4354"/>
      <c r="N582" s="4354"/>
      <c r="O582" s="4354"/>
      <c r="P582" s="4354"/>
      <c r="Q582" s="4354"/>
      <c r="R582" s="4354"/>
      <c r="S582" s="4354"/>
      <c r="T582" s="4354"/>
      <c r="U582" s="4354"/>
      <c r="V582" s="4354"/>
      <c r="W582" s="4354"/>
      <c r="X582" s="4354"/>
      <c r="Y582" s="4354"/>
      <c r="Z582" s="4354"/>
      <c r="AA582" s="4354"/>
      <c r="AB582" s="4354"/>
      <c r="AC582" s="403">
        <f t="shared" si="329"/>
        <v>0</v>
      </c>
      <c r="AD582" s="4355"/>
      <c r="AE582" s="4355"/>
      <c r="AF582" s="4355"/>
      <c r="AG582" s="4355"/>
      <c r="AH582" s="4355"/>
      <c r="AI582" s="4355"/>
      <c r="AJ582" s="4355"/>
      <c r="AK582" s="4355"/>
      <c r="AL582" s="4355"/>
      <c r="AM582" s="4355"/>
      <c r="AN582" s="4355"/>
      <c r="AO582" s="4355"/>
      <c r="AP582" s="4355"/>
      <c r="AQ582" s="4355"/>
      <c r="AR582" s="4355"/>
      <c r="AS582" s="4355"/>
      <c r="AT582" s="4356"/>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2">
        <f t="shared" si="327"/>
        <v>0</v>
      </c>
      <c r="H583" s="4353">
        <f t="shared" si="328"/>
        <v>0</v>
      </c>
      <c r="I583" s="4354"/>
      <c r="J583" s="4354"/>
      <c r="K583" s="4354"/>
      <c r="L583" s="4354"/>
      <c r="M583" s="4354"/>
      <c r="N583" s="4354"/>
      <c r="O583" s="4354"/>
      <c r="P583" s="4354"/>
      <c r="Q583" s="4354"/>
      <c r="R583" s="4354"/>
      <c r="S583" s="4354"/>
      <c r="T583" s="4354"/>
      <c r="U583" s="4354"/>
      <c r="V583" s="4354"/>
      <c r="W583" s="4354"/>
      <c r="X583" s="4354"/>
      <c r="Y583" s="4354"/>
      <c r="Z583" s="4354"/>
      <c r="AA583" s="4354"/>
      <c r="AB583" s="4354"/>
      <c r="AC583" s="403">
        <f t="shared" si="329"/>
        <v>0</v>
      </c>
      <c r="AD583" s="4355"/>
      <c r="AE583" s="4355"/>
      <c r="AF583" s="4355"/>
      <c r="AG583" s="4355"/>
      <c r="AH583" s="4355"/>
      <c r="AI583" s="4355"/>
      <c r="AJ583" s="4355"/>
      <c r="AK583" s="4355"/>
      <c r="AL583" s="4355"/>
      <c r="AM583" s="4355"/>
      <c r="AN583" s="4355"/>
      <c r="AO583" s="4355"/>
      <c r="AP583" s="4355"/>
      <c r="AQ583" s="4355"/>
      <c r="AR583" s="4355"/>
      <c r="AS583" s="4355"/>
      <c r="AT583" s="4356"/>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2">
        <f t="shared" si="327"/>
        <v>0</v>
      </c>
      <c r="H584" s="4353">
        <f t="shared" si="328"/>
        <v>0</v>
      </c>
      <c r="I584" s="4354"/>
      <c r="J584" s="4354"/>
      <c r="K584" s="4354"/>
      <c r="L584" s="4354"/>
      <c r="M584" s="4354"/>
      <c r="N584" s="4354"/>
      <c r="O584" s="4354"/>
      <c r="P584" s="4354"/>
      <c r="Q584" s="4354"/>
      <c r="R584" s="4354"/>
      <c r="S584" s="4354"/>
      <c r="T584" s="4354"/>
      <c r="U584" s="4354"/>
      <c r="V584" s="4354"/>
      <c r="W584" s="4354"/>
      <c r="X584" s="4354"/>
      <c r="Y584" s="4354"/>
      <c r="Z584" s="4354"/>
      <c r="AA584" s="4354"/>
      <c r="AB584" s="4354"/>
      <c r="AC584" s="403">
        <f t="shared" si="329"/>
        <v>0</v>
      </c>
      <c r="AD584" s="4355"/>
      <c r="AE584" s="4355"/>
      <c r="AF584" s="4355"/>
      <c r="AG584" s="4355"/>
      <c r="AH584" s="4355"/>
      <c r="AI584" s="4355"/>
      <c r="AJ584" s="4355"/>
      <c r="AK584" s="4355"/>
      <c r="AL584" s="4355"/>
      <c r="AM584" s="4355"/>
      <c r="AN584" s="4355"/>
      <c r="AO584" s="4355"/>
      <c r="AP584" s="4355"/>
      <c r="AQ584" s="4355"/>
      <c r="AR584" s="4355"/>
      <c r="AS584" s="4355"/>
      <c r="AT584" s="4356"/>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2">
        <f>H585+AC585+AT585</f>
        <v>0</v>
      </c>
      <c r="H585" s="4353">
        <f>SUMIF(I$12:AB$12,"总值",I585:AB585)</f>
        <v>0</v>
      </c>
      <c r="I585" s="4354"/>
      <c r="J585" s="4354"/>
      <c r="K585" s="4354"/>
      <c r="L585" s="4354"/>
      <c r="M585" s="4354"/>
      <c r="N585" s="4354"/>
      <c r="O585" s="4354"/>
      <c r="P585" s="4354"/>
      <c r="Q585" s="4354"/>
      <c r="R585" s="4354"/>
      <c r="S585" s="4354"/>
      <c r="T585" s="4354"/>
      <c r="U585" s="4354"/>
      <c r="V585" s="4354"/>
      <c r="W585" s="4354"/>
      <c r="X585" s="4354"/>
      <c r="Y585" s="4354"/>
      <c r="Z585" s="4354"/>
      <c r="AA585" s="4354"/>
      <c r="AB585" s="4354"/>
      <c r="AC585" s="403">
        <f>SUMIF(AD$12:AS$12,"总值",AD585:AS585)</f>
        <v>0</v>
      </c>
      <c r="AD585" s="4355"/>
      <c r="AE585" s="4355"/>
      <c r="AF585" s="4355"/>
      <c r="AG585" s="4355"/>
      <c r="AH585" s="4355"/>
      <c r="AI585" s="4355"/>
      <c r="AJ585" s="4355"/>
      <c r="AK585" s="4355"/>
      <c r="AL585" s="4355"/>
      <c r="AM585" s="4355"/>
      <c r="AN585" s="4355"/>
      <c r="AO585" s="4355"/>
      <c r="AP585" s="4355"/>
      <c r="AQ585" s="4355"/>
      <c r="AR585" s="4355"/>
      <c r="AS585" s="4355"/>
      <c r="AT585" s="4355"/>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2">
        <f>H586+AC586+AT586</f>
        <v>0</v>
      </c>
      <c r="H586" s="4353">
        <f>SUMIF(I$12:AB$12,"总值",I586:AB586)</f>
        <v>0</v>
      </c>
      <c r="I586" s="4354"/>
      <c r="J586" s="4354"/>
      <c r="K586" s="4354"/>
      <c r="L586" s="4354"/>
      <c r="M586" s="4354"/>
      <c r="N586" s="4354"/>
      <c r="O586" s="4354"/>
      <c r="P586" s="4354"/>
      <c r="Q586" s="4354"/>
      <c r="R586" s="4354"/>
      <c r="S586" s="4354"/>
      <c r="T586" s="4354"/>
      <c r="U586" s="4354"/>
      <c r="V586" s="4354"/>
      <c r="W586" s="4354"/>
      <c r="X586" s="4354"/>
      <c r="Y586" s="4354"/>
      <c r="Z586" s="4354"/>
      <c r="AA586" s="4354"/>
      <c r="AB586" s="4354"/>
      <c r="AC586" s="403">
        <f>SUMIF(AD$12:AS$12,"总值",AD586:AS586)</f>
        <v>0</v>
      </c>
      <c r="AD586" s="4355"/>
      <c r="AE586" s="4355"/>
      <c r="AF586" s="4355"/>
      <c r="AG586" s="4355"/>
      <c r="AH586" s="4355"/>
      <c r="AI586" s="4355"/>
      <c r="AJ586" s="4355"/>
      <c r="AK586" s="4355"/>
      <c r="AL586" s="4355"/>
      <c r="AM586" s="4355"/>
      <c r="AN586" s="4355"/>
      <c r="AO586" s="4355"/>
      <c r="AP586" s="4355"/>
      <c r="AQ586" s="4355"/>
      <c r="AR586" s="4355"/>
      <c r="AS586" s="4355"/>
      <c r="AT586" s="4355"/>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2">
        <f>H587+AC587+AT587</f>
        <v>0</v>
      </c>
      <c r="H587" s="4353">
        <f>SUMIF(I$12:AB$12,"总值",I587:AB587)</f>
        <v>0</v>
      </c>
      <c r="I587" s="4354"/>
      <c r="J587" s="4354"/>
      <c r="K587" s="4354"/>
      <c r="L587" s="4354"/>
      <c r="M587" s="4354"/>
      <c r="N587" s="4354"/>
      <c r="O587" s="4354"/>
      <c r="P587" s="4354"/>
      <c r="Q587" s="4354"/>
      <c r="R587" s="4354"/>
      <c r="S587" s="4354"/>
      <c r="T587" s="4354"/>
      <c r="U587" s="4354"/>
      <c r="V587" s="4354"/>
      <c r="W587" s="4354"/>
      <c r="X587" s="4354"/>
      <c r="Y587" s="4354"/>
      <c r="Z587" s="4354"/>
      <c r="AA587" s="4354"/>
      <c r="AB587" s="4354"/>
      <c r="AC587" s="403">
        <f>SUMIF(AD$12:AS$12,"总值",AD587:AS587)</f>
        <v>0</v>
      </c>
      <c r="AD587" s="4355"/>
      <c r="AE587" s="4355"/>
      <c r="AF587" s="4355"/>
      <c r="AG587" s="4355"/>
      <c r="AH587" s="4355"/>
      <c r="AI587" s="4355"/>
      <c r="AJ587" s="4355"/>
      <c r="AK587" s="4355"/>
      <c r="AL587" s="4355"/>
      <c r="AM587" s="4355"/>
      <c r="AN587" s="4355"/>
      <c r="AO587" s="4355"/>
      <c r="AP587" s="4355"/>
      <c r="AQ587" s="4355"/>
      <c r="AR587" s="4355"/>
      <c r="AS587" s="4355"/>
      <c r="AT587" s="4355"/>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73" t="s">
        <v>1117</v>
      </c>
      <c r="B2" s="4573"/>
      <c r="C2" s="4573"/>
      <c r="D2" s="579" t="s">
        <v>1093</v>
      </c>
      <c r="E2" s="1276" t="s">
        <v>1094</v>
      </c>
      <c r="F2" s="2140"/>
      <c r="G2" s="2133"/>
      <c r="H2" s="2134"/>
      <c r="I2" s="1867" t="s">
        <v>1118</v>
      </c>
      <c r="J2" s="2140"/>
      <c r="K2" s="2140"/>
      <c r="L2" s="2140"/>
      <c r="M2" s="2140"/>
      <c r="N2" s="2142"/>
      <c r="O2" s="2140"/>
      <c r="P2" s="2140"/>
    </row>
    <row r="3" spans="1:16" ht="15.75" thickBot="1">
      <c r="A3" s="4574" t="s">
        <v>1091</v>
      </c>
      <c r="B3" s="4574"/>
      <c r="C3" s="4574"/>
      <c r="D3" s="4387">
        <f>'数据-基础表'!AY6</f>
        <v>6294.36</v>
      </c>
      <c r="E3" s="4387">
        <f>'数据-基础表'!AZ5</f>
        <v>39707.96</v>
      </c>
      <c r="F3" s="2140"/>
      <c r="G3" s="840"/>
      <c r="H3" s="744" t="s">
        <v>1092</v>
      </c>
      <c r="I3" s="2923">
        <f>ROUND('数据-基础表'!B3/'数据-基础表'!A3,2)</f>
        <v>6.31</v>
      </c>
      <c r="J3" s="2140"/>
      <c r="K3" s="2140"/>
      <c r="L3" s="2140"/>
      <c r="M3" s="2140"/>
      <c r="N3" s="2142"/>
      <c r="O3" s="2140"/>
      <c r="P3" s="2140"/>
    </row>
    <row r="4" spans="1:16" ht="15">
      <c r="A4" s="4575"/>
      <c r="B4" s="4576"/>
      <c r="C4" s="4577"/>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8" t="s">
        <v>1096</v>
      </c>
      <c r="C5" s="4578"/>
      <c r="D5" s="4365">
        <f>ROUND($D$3*E5/$E$3,2)</f>
        <v>0</v>
      </c>
      <c r="E5" s="4224">
        <f>SUMIF('数据-基础表'!$11:$11,"住宅",'数据-基础表'!$5:$5)</f>
        <v>0</v>
      </c>
      <c r="F5" s="2140"/>
      <c r="G5" s="840"/>
      <c r="H5" s="744" t="s">
        <v>1092</v>
      </c>
      <c r="I5" s="2923">
        <f>ROUND(E31/D31,2)</f>
        <v>6.31</v>
      </c>
      <c r="J5" s="2140"/>
      <c r="K5" s="2140"/>
      <c r="L5" s="2140"/>
      <c r="M5" s="2140"/>
      <c r="N5" s="2140"/>
      <c r="O5" s="2140"/>
      <c r="P5" s="2140"/>
    </row>
    <row r="6" spans="1:16" ht="15" thickBot="1">
      <c r="A6" s="1281"/>
      <c r="B6" s="4578" t="s">
        <v>1097</v>
      </c>
      <c r="C6" s="4578"/>
      <c r="D6" s="4365">
        <f>ROUND($D$3*E6/$E$3,2)</f>
        <v>6294.36</v>
      </c>
      <c r="E6" s="4224">
        <f>E3-E5</f>
        <v>39707.96</v>
      </c>
      <c r="F6" s="2140"/>
      <c r="G6" s="2136" t="s">
        <v>1098</v>
      </c>
      <c r="H6" s="841" t="s">
        <v>1099</v>
      </c>
      <c r="I6" s="2924">
        <f>ROUND(F31/D31,2)</f>
        <v>5.16</v>
      </c>
      <c r="J6" s="2140"/>
      <c r="K6" s="2140"/>
      <c r="L6" s="2140"/>
      <c r="M6" s="2140"/>
      <c r="N6" s="2140"/>
      <c r="O6" s="2140"/>
      <c r="P6" s="2140"/>
    </row>
    <row r="7" spans="1:16" ht="15.75" thickBot="1">
      <c r="A7" s="4570"/>
      <c r="B7" s="4571"/>
      <c r="C7" s="4572"/>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5">
        <f t="shared" ref="D8:D15" si="0">ROUND($D$3*E8/$E$3,2)</f>
        <v>5105.33</v>
      </c>
      <c r="E8" s="4224">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5">
        <f t="shared" si="0"/>
        <v>0</v>
      </c>
      <c r="E9" s="4388"/>
      <c r="F9" s="2140"/>
      <c r="G9" s="2141"/>
      <c r="H9" s="2141"/>
      <c r="I9" s="2140"/>
      <c r="J9" s="2140"/>
      <c r="K9" s="2140"/>
      <c r="L9" s="2140"/>
      <c r="M9" s="2140"/>
      <c r="N9" s="2140"/>
      <c r="O9" s="2140"/>
      <c r="P9" s="2140"/>
    </row>
    <row r="10" spans="1:16">
      <c r="A10" s="1283"/>
      <c r="B10" s="1284"/>
      <c r="C10" s="25" t="s">
        <v>1114</v>
      </c>
      <c r="D10" s="4365">
        <f t="shared" si="0"/>
        <v>0</v>
      </c>
      <c r="E10" s="4224">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5">
        <f t="shared" si="0"/>
        <v>0</v>
      </c>
      <c r="E11" s="4224">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5">
        <f t="shared" si="0"/>
        <v>0</v>
      </c>
      <c r="E12" s="4224">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5">
        <f t="shared" si="0"/>
        <v>1144.33</v>
      </c>
      <c r="E13" s="4224">
        <f>SUMPRODUCT(('数据-基础表'!BB10:BK10="地下")*('数据-基础表'!BB11:BK11="车库")*('数据-基础表'!BB5:BK5))</f>
        <v>7219.03</v>
      </c>
      <c r="F13" s="2140"/>
      <c r="G13" s="2141"/>
      <c r="H13" s="2141"/>
      <c r="I13" s="2140"/>
      <c r="J13" s="2140"/>
      <c r="K13" s="2140"/>
      <c r="L13" s="2140"/>
      <c r="M13" s="2140"/>
      <c r="N13" s="2140"/>
      <c r="O13" s="2140"/>
      <c r="P13" s="2140"/>
    </row>
    <row r="14" spans="1:16">
      <c r="A14" s="1283"/>
      <c r="B14" s="1284"/>
      <c r="C14" s="25" t="s">
        <v>1120</v>
      </c>
      <c r="D14" s="4365">
        <f t="shared" si="0"/>
        <v>0</v>
      </c>
      <c r="E14" s="4224">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5">
        <f t="shared" si="0"/>
        <v>0</v>
      </c>
      <c r="E15" s="4224">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1"/>
      <c r="B16" s="1284"/>
      <c r="C16" s="26" t="s">
        <v>1109</v>
      </c>
      <c r="D16" s="4162">
        <f>SUM(D8:D15)</f>
        <v>6249.66</v>
      </c>
      <c r="E16" s="4377">
        <f>SUM(E8:E15)</f>
        <v>39425.99</v>
      </c>
      <c r="F16" s="2140"/>
      <c r="G16" s="2141"/>
      <c r="H16" s="1285" t="s">
        <v>1121</v>
      </c>
      <c r="I16" s="1286"/>
      <c r="J16" s="839"/>
      <c r="K16" s="4567" t="s">
        <v>1121</v>
      </c>
      <c r="L16" s="4568"/>
      <c r="M16" s="4568"/>
      <c r="N16" s="4568"/>
      <c r="O16" s="4568"/>
      <c r="P16" s="4569"/>
    </row>
    <row r="17" spans="1:19" ht="15">
      <c r="A17" s="1287" t="s">
        <v>1122</v>
      </c>
      <c r="B17" s="1288" t="s">
        <v>1123</v>
      </c>
      <c r="C17" s="1289" t="s">
        <v>1124</v>
      </c>
      <c r="D17" s="1290" t="s">
        <v>1112</v>
      </c>
      <c r="E17" s="1291" t="s">
        <v>1113</v>
      </c>
      <c r="F17" s="1292"/>
      <c r="G17" s="1293"/>
      <c r="H17" s="1294" t="s">
        <v>1125</v>
      </c>
      <c r="I17" s="1295" t="s">
        <v>1110</v>
      </c>
      <c r="J17" s="839"/>
      <c r="K17" s="4564" t="s">
        <v>1126</v>
      </c>
      <c r="L17" s="4565"/>
      <c r="M17" s="4566"/>
      <c r="N17" s="4564" t="s">
        <v>1127</v>
      </c>
      <c r="O17" s="4565"/>
      <c r="P17" s="4566"/>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3860</v>
      </c>
      <c r="D19" s="4365">
        <f>ROUND($D$3*E19/$E$3,2)</f>
        <v>6249.66</v>
      </c>
      <c r="E19" s="4365">
        <f t="shared" ref="E19:E26" si="1">SUM(F19:G19)</f>
        <v>39425.99</v>
      </c>
      <c r="F19" s="4366">
        <f>'数据-基础表'!I13</f>
        <v>32206.959999999999</v>
      </c>
      <c r="G19" s="4190">
        <f>'数据-基础表'!K13</f>
        <v>7219.03</v>
      </c>
      <c r="H19" s="4367">
        <f>ROUND($D$3*I19/$E$3,2)</f>
        <v>44.7</v>
      </c>
      <c r="I19" s="4224">
        <f t="shared" ref="I19:I26" si="2">IF($I$17="自定义",P19,M19)</f>
        <v>281.97000000000003</v>
      </c>
      <c r="J19" s="839"/>
      <c r="K19" s="4367">
        <f t="shared" ref="K19:K26" si="3">ROUND(E$28*E19/E$27,2)</f>
        <v>281.97000000000003</v>
      </c>
      <c r="L19" s="4365">
        <f t="shared" ref="L19:L26" si="4">ROUND(IF(COUNTIF(C19,"*住宅*")&gt;0,E$29*E19/E$32,0),2)</f>
        <v>0</v>
      </c>
      <c r="M19" s="4224">
        <f>K19+L19</f>
        <v>281.97000000000003</v>
      </c>
      <c r="N19" s="4381"/>
      <c r="O19" s="4382"/>
      <c r="P19" s="4224">
        <f>N19+O19</f>
        <v>0</v>
      </c>
      <c r="Q19" s="4383"/>
      <c r="R19" s="4365">
        <f t="shared" ref="R19:S26" si="5">D19+H19</f>
        <v>6294.36</v>
      </c>
      <c r="S19" s="4365">
        <f t="shared" si="5"/>
        <v>39707.96</v>
      </c>
    </row>
    <row r="20" spans="1:19">
      <c r="A20" s="1305"/>
      <c r="B20" s="26" t="s">
        <v>1139</v>
      </c>
      <c r="C20" s="2783"/>
      <c r="D20" s="4365">
        <f t="shared" ref="D20:D26" si="6">ROUND($D$3*E20/$E$3,2)</f>
        <v>0</v>
      </c>
      <c r="E20" s="4365">
        <f t="shared" si="1"/>
        <v>0</v>
      </c>
      <c r="F20" s="4366"/>
      <c r="G20" s="4190"/>
      <c r="H20" s="4367">
        <f t="shared" ref="H20:H26" si="7">ROUND($D$3*I20/$E$3,2)</f>
        <v>0</v>
      </c>
      <c r="I20" s="4224">
        <f t="shared" si="2"/>
        <v>0</v>
      </c>
      <c r="J20" s="839"/>
      <c r="K20" s="4367">
        <f t="shared" si="3"/>
        <v>0</v>
      </c>
      <c r="L20" s="4365">
        <f t="shared" si="4"/>
        <v>0</v>
      </c>
      <c r="M20" s="4224">
        <f t="shared" ref="M20:M26" si="8">K20+L20</f>
        <v>0</v>
      </c>
      <c r="N20" s="4381"/>
      <c r="O20" s="4382"/>
      <c r="P20" s="4224">
        <f t="shared" ref="P20:P26" si="9">N20+O20</f>
        <v>0</v>
      </c>
      <c r="Q20" s="4383"/>
      <c r="R20" s="4365">
        <f t="shared" si="5"/>
        <v>0</v>
      </c>
      <c r="S20" s="4365">
        <f t="shared" si="5"/>
        <v>0</v>
      </c>
    </row>
    <row r="21" spans="1:19">
      <c r="A21" s="1305"/>
      <c r="B21" s="26" t="s">
        <v>1139</v>
      </c>
      <c r="C21" s="2783"/>
      <c r="D21" s="4365">
        <f t="shared" si="6"/>
        <v>0</v>
      </c>
      <c r="E21" s="4365">
        <f t="shared" si="1"/>
        <v>0</v>
      </c>
      <c r="F21" s="4366"/>
      <c r="G21" s="4190"/>
      <c r="H21" s="4367">
        <f t="shared" si="7"/>
        <v>0</v>
      </c>
      <c r="I21" s="4224">
        <f t="shared" si="2"/>
        <v>0</v>
      </c>
      <c r="J21" s="839"/>
      <c r="K21" s="4367">
        <f t="shared" si="3"/>
        <v>0</v>
      </c>
      <c r="L21" s="4365">
        <f t="shared" si="4"/>
        <v>0</v>
      </c>
      <c r="M21" s="4224">
        <f t="shared" si="8"/>
        <v>0</v>
      </c>
      <c r="N21" s="4381"/>
      <c r="O21" s="4382"/>
      <c r="P21" s="4224">
        <f t="shared" si="9"/>
        <v>0</v>
      </c>
      <c r="Q21" s="4383"/>
      <c r="R21" s="4365">
        <f t="shared" si="5"/>
        <v>0</v>
      </c>
      <c r="S21" s="4365">
        <f t="shared" si="5"/>
        <v>0</v>
      </c>
    </row>
    <row r="22" spans="1:19">
      <c r="A22" s="1305"/>
      <c r="B22" s="26" t="s">
        <v>1139</v>
      </c>
      <c r="C22" s="2784"/>
      <c r="D22" s="4365">
        <f t="shared" si="6"/>
        <v>0</v>
      </c>
      <c r="E22" s="4365">
        <f t="shared" si="1"/>
        <v>0</v>
      </c>
      <c r="F22" s="4368"/>
      <c r="G22" s="4369"/>
      <c r="H22" s="4367">
        <f t="shared" si="7"/>
        <v>0</v>
      </c>
      <c r="I22" s="4224">
        <f t="shared" si="2"/>
        <v>0</v>
      </c>
      <c r="J22" s="839"/>
      <c r="K22" s="4367">
        <f t="shared" si="3"/>
        <v>0</v>
      </c>
      <c r="L22" s="4365">
        <f t="shared" si="4"/>
        <v>0</v>
      </c>
      <c r="M22" s="4224">
        <f t="shared" si="8"/>
        <v>0</v>
      </c>
      <c r="N22" s="4381"/>
      <c r="O22" s="4382"/>
      <c r="P22" s="4224">
        <f t="shared" si="9"/>
        <v>0</v>
      </c>
      <c r="Q22" s="4383"/>
      <c r="R22" s="4365">
        <f t="shared" si="5"/>
        <v>0</v>
      </c>
      <c r="S22" s="4365">
        <f t="shared" si="5"/>
        <v>0</v>
      </c>
    </row>
    <row r="23" spans="1:19">
      <c r="A23" s="1305"/>
      <c r="B23" s="26" t="s">
        <v>1139</v>
      </c>
      <c r="C23" s="2784"/>
      <c r="D23" s="4365">
        <f>ROUND($D$3*E23/$E$3,2)</f>
        <v>0</v>
      </c>
      <c r="E23" s="4365">
        <f>SUM(F23:G23)</f>
        <v>0</v>
      </c>
      <c r="F23" s="4368"/>
      <c r="G23" s="4369"/>
      <c r="H23" s="4367">
        <f>ROUND($D$3*I23/$E$3,2)</f>
        <v>0</v>
      </c>
      <c r="I23" s="4224">
        <f t="shared" si="2"/>
        <v>0</v>
      </c>
      <c r="J23" s="839"/>
      <c r="K23" s="4367">
        <f t="shared" si="3"/>
        <v>0</v>
      </c>
      <c r="L23" s="4365">
        <f t="shared" si="4"/>
        <v>0</v>
      </c>
      <c r="M23" s="4224">
        <f t="shared" si="8"/>
        <v>0</v>
      </c>
      <c r="N23" s="4381"/>
      <c r="O23" s="4382"/>
      <c r="P23" s="4224">
        <f t="shared" si="9"/>
        <v>0</v>
      </c>
      <c r="Q23" s="4383"/>
      <c r="R23" s="4365">
        <f t="shared" si="5"/>
        <v>0</v>
      </c>
      <c r="S23" s="4365">
        <f t="shared" si="5"/>
        <v>0</v>
      </c>
    </row>
    <row r="24" spans="1:19">
      <c r="A24" s="1305"/>
      <c r="B24" s="26" t="s">
        <v>1139</v>
      </c>
      <c r="C24" s="2784"/>
      <c r="D24" s="4365">
        <f>ROUND($D$3*E24/$E$3,2)</f>
        <v>0</v>
      </c>
      <c r="E24" s="4365">
        <f>SUM(F24:G24)</f>
        <v>0</v>
      </c>
      <c r="F24" s="4368"/>
      <c r="G24" s="4369"/>
      <c r="H24" s="4367">
        <f>ROUND($D$3*I24/$E$3,2)</f>
        <v>0</v>
      </c>
      <c r="I24" s="4224">
        <f t="shared" si="2"/>
        <v>0</v>
      </c>
      <c r="J24" s="839"/>
      <c r="K24" s="4367">
        <f t="shared" si="3"/>
        <v>0</v>
      </c>
      <c r="L24" s="4365">
        <f t="shared" si="4"/>
        <v>0</v>
      </c>
      <c r="M24" s="4224">
        <f t="shared" si="8"/>
        <v>0</v>
      </c>
      <c r="N24" s="4381"/>
      <c r="O24" s="4382"/>
      <c r="P24" s="4224">
        <f t="shared" si="9"/>
        <v>0</v>
      </c>
      <c r="Q24" s="4383"/>
      <c r="R24" s="4365">
        <f t="shared" si="5"/>
        <v>0</v>
      </c>
      <c r="S24" s="4365">
        <f t="shared" si="5"/>
        <v>0</v>
      </c>
    </row>
    <row r="25" spans="1:19">
      <c r="A25" s="1305"/>
      <c r="B25" s="26" t="s">
        <v>1139</v>
      </c>
      <c r="C25" s="2784"/>
      <c r="D25" s="4365">
        <f t="shared" si="6"/>
        <v>0</v>
      </c>
      <c r="E25" s="4365">
        <f t="shared" si="1"/>
        <v>0</v>
      </c>
      <c r="F25" s="4368"/>
      <c r="G25" s="4369"/>
      <c r="H25" s="4370">
        <f t="shared" si="7"/>
        <v>0</v>
      </c>
      <c r="I25" s="4224">
        <f t="shared" si="2"/>
        <v>0</v>
      </c>
      <c r="J25" s="839"/>
      <c r="K25" s="4367">
        <f t="shared" si="3"/>
        <v>0</v>
      </c>
      <c r="L25" s="4365">
        <f t="shared" si="4"/>
        <v>0</v>
      </c>
      <c r="M25" s="4224">
        <f t="shared" si="8"/>
        <v>0</v>
      </c>
      <c r="N25" s="4381"/>
      <c r="O25" s="4382"/>
      <c r="P25" s="4224">
        <f t="shared" si="9"/>
        <v>0</v>
      </c>
      <c r="Q25" s="4383"/>
      <c r="R25" s="4365">
        <f t="shared" si="5"/>
        <v>0</v>
      </c>
      <c r="S25" s="4365">
        <f t="shared" si="5"/>
        <v>0</v>
      </c>
    </row>
    <row r="26" spans="1:19">
      <c r="A26" s="1305"/>
      <c r="B26" s="26" t="s">
        <v>1139</v>
      </c>
      <c r="C26" s="29"/>
      <c r="D26" s="4365">
        <f t="shared" si="6"/>
        <v>0</v>
      </c>
      <c r="E26" s="4365">
        <f t="shared" si="1"/>
        <v>0</v>
      </c>
      <c r="F26" s="4368"/>
      <c r="G26" s="4369"/>
      <c r="H26" s="4370">
        <f t="shared" si="7"/>
        <v>0</v>
      </c>
      <c r="I26" s="4224">
        <f t="shared" si="2"/>
        <v>0</v>
      </c>
      <c r="J26" s="839"/>
      <c r="K26" s="4370">
        <f t="shared" si="3"/>
        <v>0</v>
      </c>
      <c r="L26" s="4162">
        <f t="shared" si="4"/>
        <v>0</v>
      </c>
      <c r="M26" s="4377">
        <f t="shared" si="8"/>
        <v>0</v>
      </c>
      <c r="N26" s="4384"/>
      <c r="O26" s="4385"/>
      <c r="P26" s="4377">
        <f t="shared" si="9"/>
        <v>0</v>
      </c>
      <c r="Q26" s="4383"/>
      <c r="R26" s="4365">
        <f t="shared" si="5"/>
        <v>0</v>
      </c>
      <c r="S26" s="4365">
        <f t="shared" si="5"/>
        <v>0</v>
      </c>
    </row>
    <row r="27" spans="1:19" ht="15.75" thickBot="1">
      <c r="A27" s="1305"/>
      <c r="B27" s="25"/>
      <c r="C27" s="1306" t="s">
        <v>1140</v>
      </c>
      <c r="D27" s="4371">
        <f>SUM(D19:D26)</f>
        <v>6249.66</v>
      </c>
      <c r="E27" s="4371">
        <f>IF(SUM(E19:E26)='数据-基础表'!BA5,SUM(E19:E26),IF(F27="地上面积有误","面积有误","地下面积有误"))</f>
        <v>39425.99</v>
      </c>
      <c r="F27" s="4371">
        <f>IF(SUM(F19:F26)=E8,SUM(F19:F26),"地上面积有误")</f>
        <v>32206.959999999999</v>
      </c>
      <c r="G27" s="4221">
        <f>SUM(G19:G26)</f>
        <v>7219.03</v>
      </c>
      <c r="H27" s="4372">
        <f>SUM(H19:H26)</f>
        <v>44.7</v>
      </c>
      <c r="I27" s="4373">
        <f>SUM(I19:I26)</f>
        <v>281.97000000000003</v>
      </c>
      <c r="J27" s="839"/>
      <c r="K27" s="4372">
        <f>SUM(K19:K26)</f>
        <v>281.97000000000003</v>
      </c>
      <c r="L27" s="4379">
        <f>SUM(L19:L26)</f>
        <v>0</v>
      </c>
      <c r="M27" s="4380">
        <f>SUM(M19:M26)</f>
        <v>281.97000000000003</v>
      </c>
      <c r="N27" s="4372">
        <f t="shared" ref="N27:O27" si="10">SUM(N19:N26)</f>
        <v>0</v>
      </c>
      <c r="O27" s="4379">
        <f t="shared" si="10"/>
        <v>0</v>
      </c>
      <c r="P27" s="4168">
        <f>SUM(P19:P26)</f>
        <v>0</v>
      </c>
      <c r="Q27" s="4383"/>
      <c r="R27" s="4386">
        <f>IF(SUM(R19:R26)=$D$3,SUM(R19:R26),SUM(R19:R26)&amp;"误差"&amp;ROUND(SUM(R19:R26)-$D$3,2))</f>
        <v>6294.36</v>
      </c>
      <c r="S27" s="4365">
        <f>IF(SUM(S19:S26)=$E$3,SUM(S19:S26),SUM(S19:S26)&amp;"误差"&amp;ROUND(SUM(S19:S26)-E3,2))</f>
        <v>39707.96</v>
      </c>
    </row>
    <row r="28" spans="1:19">
      <c r="A28" s="1305"/>
      <c r="B28" s="26" t="s">
        <v>1141</v>
      </c>
      <c r="C28" s="749" t="s">
        <v>1142</v>
      </c>
      <c r="D28" s="4365">
        <f>ROUND($D$3*E28/$E$3,2)</f>
        <v>44.7</v>
      </c>
      <c r="E28" s="4365">
        <f>SUM(F28:G28)</f>
        <v>281.97000000000003</v>
      </c>
      <c r="F28" s="4330">
        <f>'数据-基础表'!BQ5+'数据-基础表'!BS5</f>
        <v>281.97000000000003</v>
      </c>
      <c r="G28" s="4374">
        <f>'数据-基础表'!BR5+'数据-基础表'!BT5</f>
        <v>0</v>
      </c>
      <c r="H28" s="4375"/>
      <c r="I28" s="4375"/>
      <c r="J28" s="2140"/>
      <c r="K28" s="2140"/>
      <c r="L28" s="2140"/>
      <c r="M28" s="2140"/>
      <c r="N28" s="2140"/>
      <c r="O28" s="2140"/>
      <c r="P28" s="2140"/>
    </row>
    <row r="29" spans="1:19">
      <c r="A29" s="1305"/>
      <c r="B29" s="26" t="s">
        <v>1141</v>
      </c>
      <c r="C29" s="1307" t="s">
        <v>1143</v>
      </c>
      <c r="D29" s="4365">
        <f>ROUND($D$3*E29/$E$3,2)</f>
        <v>0</v>
      </c>
      <c r="E29" s="4365">
        <f>SUM(F29:G29)</f>
        <v>0</v>
      </c>
      <c r="F29" s="4376">
        <f>'数据-基础表'!BM5+'数据-基础表'!BO5</f>
        <v>0</v>
      </c>
      <c r="G29" s="4377">
        <f>'数据-基础表'!BN5+'数据-基础表'!BP5</f>
        <v>0</v>
      </c>
      <c r="H29" s="4375"/>
      <c r="I29" s="4375"/>
      <c r="J29" s="2140"/>
      <c r="K29" s="2140"/>
      <c r="L29" s="2140"/>
      <c r="M29" s="2140"/>
      <c r="N29" s="2140"/>
      <c r="O29" s="2140"/>
      <c r="P29" s="2140"/>
    </row>
    <row r="30" spans="1:19" ht="15">
      <c r="A30" s="1305"/>
      <c r="B30" s="26"/>
      <c r="C30" s="1308" t="s">
        <v>1140</v>
      </c>
      <c r="D30" s="4371">
        <f>SUM(D28:D29)</f>
        <v>44.7</v>
      </c>
      <c r="E30" s="4371">
        <f>SUM(E28:E29)</f>
        <v>281.97000000000003</v>
      </c>
      <c r="F30" s="4371">
        <f>SUM(F28:F29)</f>
        <v>281.97000000000003</v>
      </c>
      <c r="G30" s="4221">
        <f>SUM(G28:G29)</f>
        <v>0</v>
      </c>
      <c r="H30" s="4375"/>
      <c r="I30" s="4375"/>
      <c r="J30" s="2140"/>
      <c r="K30" s="2140"/>
      <c r="L30" s="2140"/>
      <c r="M30" s="2140"/>
      <c r="N30" s="2140"/>
      <c r="O30" s="2140"/>
      <c r="P30" s="2140"/>
    </row>
    <row r="31" spans="1:19" ht="15.75" thickBot="1">
      <c r="A31" s="1309"/>
      <c r="B31" s="1310"/>
      <c r="C31" s="594" t="s">
        <v>1144</v>
      </c>
      <c r="D31" s="4378">
        <f>D27+D30</f>
        <v>6294.36</v>
      </c>
      <c r="E31" s="4378">
        <f>E27+E30</f>
        <v>39707.96</v>
      </c>
      <c r="F31" s="4379">
        <f>F27+F30</f>
        <v>32488.93</v>
      </c>
      <c r="G31" s="4380">
        <f>G27+G30</f>
        <v>7219.03</v>
      </c>
      <c r="H31" s="4375"/>
      <c r="I31" s="4375"/>
      <c r="J31" s="2140"/>
      <c r="K31" s="2140"/>
      <c r="L31" s="2140"/>
      <c r="M31" s="2140"/>
      <c r="N31" s="2140"/>
      <c r="O31" s="2140"/>
      <c r="P31" s="2140"/>
    </row>
    <row r="32" spans="1:19">
      <c r="A32" s="1280"/>
      <c r="B32" s="1280" t="s">
        <v>1145</v>
      </c>
      <c r="C32" s="1280"/>
      <c r="D32" s="4161"/>
      <c r="E32" s="4161">
        <f>SUMIF(C19:C26,"*住宅*",E19:E26)</f>
        <v>0</v>
      </c>
      <c r="F32" s="4161"/>
      <c r="G32" s="4161"/>
      <c r="H32" s="4375"/>
      <c r="I32" s="4375"/>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36"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3861</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89">
        <f>SUMIF('数据-汇总表'!C$19:C$33,A6,'数据-汇总表'!E$19:E$33)</f>
        <v>39425.99</v>
      </c>
      <c r="L6" s="4390">
        <f>ROUND(N26/1.09,-2)</f>
        <v>5000</v>
      </c>
      <c r="M6" s="4391">
        <f t="shared" ref="M6:M14" si="1">ROUND(K6*L6/10000,0)</f>
        <v>19713</v>
      </c>
      <c r="N6" s="3754">
        <f>N18</f>
        <v>0.85</v>
      </c>
      <c r="O6" s="4391" t="str">
        <f>IF($N$5="成新度","——",ROUND(M6*N6,0))</f>
        <v>——</v>
      </c>
      <c r="P6" s="4170" t="str">
        <f>IF($N$5="成新度","——",M6-O6)</f>
        <v>——</v>
      </c>
      <c r="Q6" s="3755">
        <v>0.15</v>
      </c>
      <c r="R6" s="4408">
        <f ca="1">SUMIF('数据-汇总表'!C$19:C$33,A6,'数据-汇总表'!R$19:R$27)</f>
        <v>6294.36</v>
      </c>
      <c r="S6" s="4365">
        <f>IF('数据-汇总表'!$I$17="按面积比例",SUMIF('数据-汇总表'!C$19:C$33,A6,'数据-汇总表'!K$19:K$33),SUMIF('数据-汇总表'!C$19:C$33,A6,'数据-汇总表'!N$19:N$33))</f>
        <v>281.97000000000003</v>
      </c>
      <c r="T6" s="4409">
        <f>ROUND($L$14*S6/10000,0)</f>
        <v>141</v>
      </c>
      <c r="U6" s="4413">
        <f>ROUND(U17/1.09,1)</f>
        <v>2.2999999999999998</v>
      </c>
      <c r="V6" s="36">
        <v>0</v>
      </c>
      <c r="W6" s="36">
        <v>0.1</v>
      </c>
      <c r="X6" s="751"/>
      <c r="Y6" s="37">
        <f>N6</f>
        <v>0.85</v>
      </c>
      <c r="Z6" s="4418"/>
      <c r="AA6" s="35"/>
      <c r="AB6" s="35"/>
      <c r="AC6" s="751"/>
      <c r="AD6" s="38"/>
      <c r="AE6" s="4422">
        <f ca="1">IF(AN6="",0,SUMIF(INDIRECT("'"&amp;AN6&amp;"'"&amp;"!E:E"),$AE$5,INDIRECT("'"&amp;AN6&amp;"'"&amp;"!F:F")))</f>
        <v>30.07</v>
      </c>
      <c r="AF6" s="4423"/>
      <c r="AG6" s="4424">
        <f>IF(AF6="",0,AE6-AF6)</f>
        <v>0</v>
      </c>
      <c r="AH6" s="4413"/>
      <c r="AI6" s="4427">
        <v>365</v>
      </c>
      <c r="AJ6" s="4423"/>
      <c r="AK6" s="39">
        <v>2E-3</v>
      </c>
      <c r="AL6" s="40">
        <v>1E-3</v>
      </c>
      <c r="AM6" s="41">
        <v>5.0000000000000001E-3</v>
      </c>
      <c r="AN6" s="1347" t="s">
        <v>3891</v>
      </c>
      <c r="AO6" s="4365">
        <f ca="1">SUMIF(INDIRECT("'"&amp;AN6&amp;"'"&amp;"!A:A"),"总价",INDIRECT("'"&amp;AN6&amp;"'"&amp;"!B:B"))</f>
        <v>36954</v>
      </c>
      <c r="AP6" s="4365">
        <f>IF(C6="住宅",K6*L6,0)</f>
        <v>0</v>
      </c>
      <c r="AQ6" s="4365">
        <f>ROUND($L$14*$N$14*S6/10000,0)</f>
        <v>120</v>
      </c>
      <c r="AR6" s="4365">
        <f>ROUND($L$14*(1-$N$14)*S6/10000,0)</f>
        <v>21</v>
      </c>
      <c r="AS6" s="4365">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89">
        <f>SUMIF('数据-汇总表'!C$19:C$33,A7,'数据-汇总表'!E$19:E$33)</f>
        <v>0</v>
      </c>
      <c r="L7" s="4390"/>
      <c r="M7" s="4391">
        <f t="shared" si="1"/>
        <v>0</v>
      </c>
      <c r="N7" s="3754"/>
      <c r="O7" s="4391" t="str">
        <f t="shared" ref="O7:O14" si="3">IF($N$5="成新度","——",ROUND(M7*N7,0))</f>
        <v>——</v>
      </c>
      <c r="P7" s="4170" t="str">
        <f t="shared" ref="P7:P14" si="4">IF($N$5="成新度","——",M7-O7)</f>
        <v>——</v>
      </c>
      <c r="Q7" s="3755"/>
      <c r="R7" s="4408">
        <f ca="1">SUMIF('数据-汇总表'!C$19:C$33,A7,'数据-汇总表'!R$19:R$27)</f>
        <v>0</v>
      </c>
      <c r="S7" s="4365">
        <f>IF('数据-汇总表'!$I$17="按面积比例",SUMIF('数据-汇总表'!C$19:C$33,A7,'数据-汇总表'!K$19:K$33),SUMIF('数据-汇总表'!C$19:C$33,A7,'数据-汇总表'!N$19:N$33))</f>
        <v>0</v>
      </c>
      <c r="T7" s="4409">
        <f t="shared" ref="T7:T13" si="5">ROUND($L$14*S7/10000,0)</f>
        <v>0</v>
      </c>
      <c r="U7" s="4413"/>
      <c r="V7" s="36"/>
      <c r="W7" s="36"/>
      <c r="X7" s="751"/>
      <c r="Y7" s="37"/>
      <c r="Z7" s="4418"/>
      <c r="AA7" s="35"/>
      <c r="AB7" s="35"/>
      <c r="AC7" s="751"/>
      <c r="AD7" s="38"/>
      <c r="AE7" s="4422">
        <f t="shared" ref="AE7:AE13" ca="1" si="6">IF(AN7="",0,SUMIF(INDIRECT("'"&amp;AN7&amp;"'"&amp;"!E:E"),$AE$5,INDIRECT("'"&amp;AN7&amp;"'"&amp;"!F:F")))</f>
        <v>0</v>
      </c>
      <c r="AF7" s="4423"/>
      <c r="AG7" s="4424">
        <f t="shared" ref="AG7:AG13" si="7">IF(AF7="",0,AE7-AF7)</f>
        <v>0</v>
      </c>
      <c r="AH7" s="4413"/>
      <c r="AI7" s="4427"/>
      <c r="AJ7" s="4423"/>
      <c r="AK7" s="39"/>
      <c r="AL7" s="40"/>
      <c r="AM7" s="41"/>
      <c r="AN7" s="1347"/>
      <c r="AO7" s="4365" t="e">
        <f t="shared" ref="AO7:AO13" ca="1" si="8">SUMIF(INDIRECT("'"&amp;AN7&amp;"'"&amp;"!A:A"),"总价",INDIRECT("'"&amp;AN7&amp;"'"&amp;"!B:B"))</f>
        <v>#REF!</v>
      </c>
      <c r="AP7" s="4365">
        <f t="shared" ref="AP7:AP13" si="9">IF(C7="住宅",K7*L7,0)</f>
        <v>0</v>
      </c>
      <c r="AQ7" s="4365">
        <f t="shared" ref="AQ7:AQ13" si="10">ROUND($L$14*$N$14*S7/10000,0)</f>
        <v>0</v>
      </c>
      <c r="AR7" s="4365">
        <f t="shared" ref="AR7:AR13" si="11">ROUND($L$14*(1-$N$14)*S7/10000,0)</f>
        <v>0</v>
      </c>
      <c r="AS7" s="4365">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89">
        <f>SUMIF('数据-汇总表'!C$19:C$33,A8,'数据-汇总表'!E$19:E$33)</f>
        <v>0</v>
      </c>
      <c r="L8" s="4390"/>
      <c r="M8" s="4391">
        <f>ROUND(K8*L8/10000,0)</f>
        <v>0</v>
      </c>
      <c r="N8" s="3754"/>
      <c r="O8" s="4391" t="str">
        <f t="shared" si="3"/>
        <v>——</v>
      </c>
      <c r="P8" s="4170" t="str">
        <f t="shared" si="4"/>
        <v>——</v>
      </c>
      <c r="Q8" s="3755"/>
      <c r="R8" s="4408">
        <f ca="1">SUMIF('数据-汇总表'!C$19:C$33,A8,'数据-汇总表'!R$19:R$27)</f>
        <v>0</v>
      </c>
      <c r="S8" s="4365">
        <f>IF('数据-汇总表'!$I$17="按面积比例",SUMIF('数据-汇总表'!C$19:C$33,A8,'数据-汇总表'!K$19:K$33),SUMIF('数据-汇总表'!C$19:C$33,A8,'数据-汇总表'!N$19:N$33))</f>
        <v>0</v>
      </c>
      <c r="T8" s="4409">
        <f t="shared" si="5"/>
        <v>0</v>
      </c>
      <c r="U8" s="4414"/>
      <c r="V8" s="535"/>
      <c r="W8" s="535"/>
      <c r="X8" s="751"/>
      <c r="Y8" s="37"/>
      <c r="Z8" s="4418"/>
      <c r="AA8" s="35"/>
      <c r="AB8" s="35"/>
      <c r="AC8" s="751"/>
      <c r="AD8" s="38"/>
      <c r="AE8" s="4422">
        <f t="shared" ca="1" si="6"/>
        <v>0</v>
      </c>
      <c r="AF8" s="4423"/>
      <c r="AG8" s="4424">
        <f t="shared" si="7"/>
        <v>0</v>
      </c>
      <c r="AH8" s="4414"/>
      <c r="AI8" s="4427"/>
      <c r="AJ8" s="4423"/>
      <c r="AK8" s="536"/>
      <c r="AL8" s="537"/>
      <c r="AM8" s="538"/>
      <c r="AN8" s="1347"/>
      <c r="AO8" s="4365" t="e">
        <f t="shared" ca="1" si="8"/>
        <v>#REF!</v>
      </c>
      <c r="AP8" s="4365">
        <f t="shared" si="9"/>
        <v>0</v>
      </c>
      <c r="AQ8" s="4365">
        <f t="shared" si="10"/>
        <v>0</v>
      </c>
      <c r="AR8" s="4365">
        <f t="shared" si="11"/>
        <v>0</v>
      </c>
      <c r="AS8" s="4365">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89">
        <f>SUMIF('数据-汇总表'!C$19:C$33,A9,'数据-汇总表'!E$19:E$33)</f>
        <v>0</v>
      </c>
      <c r="L9" s="4390"/>
      <c r="M9" s="4391">
        <f t="shared" si="1"/>
        <v>0</v>
      </c>
      <c r="N9" s="3754"/>
      <c r="O9" s="4391" t="str">
        <f t="shared" si="3"/>
        <v>——</v>
      </c>
      <c r="P9" s="4170" t="str">
        <f t="shared" si="4"/>
        <v>——</v>
      </c>
      <c r="Q9" s="3756"/>
      <c r="R9" s="4408">
        <f ca="1">SUMIF('数据-汇总表'!C$19:C$33,A9,'数据-汇总表'!R$19:R$27)</f>
        <v>0</v>
      </c>
      <c r="S9" s="4365">
        <f>IF('数据-汇总表'!$I$17="按面积比例",SUMIF('数据-汇总表'!C$19:C$33,A9,'数据-汇总表'!K$19:K$33),SUMIF('数据-汇总表'!C$19:C$33,A9,'数据-汇总表'!N$19:N$33))</f>
        <v>0</v>
      </c>
      <c r="T9" s="4409">
        <f t="shared" si="5"/>
        <v>0</v>
      </c>
      <c r="U9" s="4413"/>
      <c r="V9" s="36"/>
      <c r="W9" s="36"/>
      <c r="X9" s="751"/>
      <c r="Y9" s="37"/>
      <c r="Z9" s="4418"/>
      <c r="AA9" s="35"/>
      <c r="AB9" s="35"/>
      <c r="AC9" s="751"/>
      <c r="AD9" s="38"/>
      <c r="AE9" s="4422">
        <f t="shared" ca="1" si="6"/>
        <v>0</v>
      </c>
      <c r="AF9" s="4423"/>
      <c r="AG9" s="4424">
        <f t="shared" si="7"/>
        <v>0</v>
      </c>
      <c r="AH9" s="4413"/>
      <c r="AI9" s="4427"/>
      <c r="AJ9" s="4423"/>
      <c r="AK9" s="39"/>
      <c r="AL9" s="40"/>
      <c r="AM9" s="41"/>
      <c r="AN9" s="1347"/>
      <c r="AO9" s="4365" t="e">
        <f t="shared" ca="1" si="8"/>
        <v>#REF!</v>
      </c>
      <c r="AP9" s="4365">
        <f t="shared" si="9"/>
        <v>0</v>
      </c>
      <c r="AQ9" s="4365">
        <f t="shared" si="10"/>
        <v>0</v>
      </c>
      <c r="AR9" s="4365">
        <f t="shared" si="11"/>
        <v>0</v>
      </c>
      <c r="AS9" s="4365">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89">
        <f>SUMIF('数据-汇总表'!C$19:C$33,A10,'数据-汇总表'!E$19:E$33)</f>
        <v>0</v>
      </c>
      <c r="L10" s="4390"/>
      <c r="M10" s="4391">
        <f t="shared" si="1"/>
        <v>0</v>
      </c>
      <c r="N10" s="3754"/>
      <c r="O10" s="4391" t="str">
        <f t="shared" si="3"/>
        <v>——</v>
      </c>
      <c r="P10" s="4170" t="str">
        <f t="shared" si="4"/>
        <v>——</v>
      </c>
      <c r="Q10" s="3756"/>
      <c r="R10" s="4408">
        <f ca="1">SUMIF('数据-汇总表'!C$19:C$33,A10,'数据-汇总表'!R$19:R$27)</f>
        <v>0</v>
      </c>
      <c r="S10" s="4365">
        <f>IF('数据-汇总表'!$I$17="按面积比例",SUMIF('数据-汇总表'!C$19:C$33,A10,'数据-汇总表'!K$19:K$33),SUMIF('数据-汇总表'!C$19:C$33,A10,'数据-汇总表'!N$19:N$33))</f>
        <v>0</v>
      </c>
      <c r="T10" s="4409">
        <f t="shared" si="5"/>
        <v>0</v>
      </c>
      <c r="U10" s="4413"/>
      <c r="V10" s="36"/>
      <c r="W10" s="36"/>
      <c r="X10" s="751"/>
      <c r="Y10" s="37"/>
      <c r="Z10" s="4418"/>
      <c r="AA10" s="35"/>
      <c r="AB10" s="35"/>
      <c r="AC10" s="751"/>
      <c r="AD10" s="38"/>
      <c r="AE10" s="4422">
        <f t="shared" ca="1" si="6"/>
        <v>0</v>
      </c>
      <c r="AF10" s="4423"/>
      <c r="AG10" s="4424">
        <f t="shared" si="7"/>
        <v>0</v>
      </c>
      <c r="AH10" s="4413"/>
      <c r="AI10" s="4427"/>
      <c r="AJ10" s="4423"/>
      <c r="AK10" s="39"/>
      <c r="AL10" s="40"/>
      <c r="AM10" s="41"/>
      <c r="AN10" s="1347"/>
      <c r="AO10" s="4365" t="e">
        <f t="shared" ca="1" si="8"/>
        <v>#REF!</v>
      </c>
      <c r="AP10" s="4365">
        <f t="shared" si="9"/>
        <v>0</v>
      </c>
      <c r="AQ10" s="4365">
        <f t="shared" si="10"/>
        <v>0</v>
      </c>
      <c r="AR10" s="4365">
        <f t="shared" si="11"/>
        <v>0</v>
      </c>
      <c r="AS10" s="4365">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89">
        <f>SUMIF('数据-汇总表'!C$19:C$33,A11,'数据-汇总表'!E$19:E$33)</f>
        <v>0</v>
      </c>
      <c r="L11" s="4392"/>
      <c r="M11" s="4391">
        <f t="shared" si="1"/>
        <v>0</v>
      </c>
      <c r="N11" s="3754"/>
      <c r="O11" s="4391" t="str">
        <f t="shared" si="3"/>
        <v>——</v>
      </c>
      <c r="P11" s="4170" t="str">
        <f t="shared" si="4"/>
        <v>——</v>
      </c>
      <c r="Q11" s="3756"/>
      <c r="R11" s="4408">
        <f ca="1">SUMIF('数据-汇总表'!C$19:C$33,A11,'数据-汇总表'!R$19:R$27)</f>
        <v>0</v>
      </c>
      <c r="S11" s="4365">
        <f>IF('数据-汇总表'!$I$17="按面积比例",SUMIF('数据-汇总表'!C$19:C$33,A11,'数据-汇总表'!K$19:K$33),SUMIF('数据-汇总表'!C$19:C$33,A11,'数据-汇总表'!N$19:N$33))</f>
        <v>0</v>
      </c>
      <c r="T11" s="4409">
        <f t="shared" si="5"/>
        <v>0</v>
      </c>
      <c r="U11" s="4413"/>
      <c r="V11" s="35"/>
      <c r="W11" s="35"/>
      <c r="X11" s="751"/>
      <c r="Y11" s="37"/>
      <c r="Z11" s="4419"/>
      <c r="AA11" s="35"/>
      <c r="AB11" s="35"/>
      <c r="AC11" s="751"/>
      <c r="AD11" s="38"/>
      <c r="AE11" s="4422">
        <f t="shared" ca="1" si="6"/>
        <v>0</v>
      </c>
      <c r="AF11" s="4423"/>
      <c r="AG11" s="4424">
        <f t="shared" si="7"/>
        <v>0</v>
      </c>
      <c r="AH11" s="4413"/>
      <c r="AI11" s="4427"/>
      <c r="AJ11" s="4423"/>
      <c r="AK11" s="42"/>
      <c r="AL11" s="43"/>
      <c r="AM11" s="44"/>
      <c r="AN11" s="1347"/>
      <c r="AO11" s="4365" t="e">
        <f t="shared" ca="1" si="8"/>
        <v>#REF!</v>
      </c>
      <c r="AP11" s="4365">
        <f t="shared" si="9"/>
        <v>0</v>
      </c>
      <c r="AQ11" s="4365">
        <f t="shared" si="10"/>
        <v>0</v>
      </c>
      <c r="AR11" s="4365">
        <f t="shared" si="11"/>
        <v>0</v>
      </c>
      <c r="AS11" s="4365">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89">
        <f>SUMIF('数据-汇总表'!C$19:C$33,A12,'数据-汇总表'!E$19:E$33)</f>
        <v>0</v>
      </c>
      <c r="L12" s="4392"/>
      <c r="M12" s="4391">
        <f>ROUND(K12*L12/10000,0)</f>
        <v>0</v>
      </c>
      <c r="N12" s="3754"/>
      <c r="O12" s="4391" t="str">
        <f t="shared" si="3"/>
        <v>——</v>
      </c>
      <c r="P12" s="4170" t="str">
        <f t="shared" si="4"/>
        <v>——</v>
      </c>
      <c r="Q12" s="3756"/>
      <c r="R12" s="4408">
        <f ca="1">SUMIF('数据-汇总表'!C$19:C$33,A12,'数据-汇总表'!R$19:R$27)</f>
        <v>0</v>
      </c>
      <c r="S12" s="4365">
        <f>IF('数据-汇总表'!$I$17="按面积比例",SUMIF('数据-汇总表'!C$19:C$33,A12,'数据-汇总表'!K$19:K$33),SUMIF('数据-汇总表'!C$19:C$33,A12,'数据-汇总表'!N$19:N$33))</f>
        <v>0</v>
      </c>
      <c r="T12" s="4409">
        <f t="shared" si="5"/>
        <v>0</v>
      </c>
      <c r="U12" s="4413"/>
      <c r="V12" s="35"/>
      <c r="W12" s="35"/>
      <c r="X12" s="751"/>
      <c r="Y12" s="37"/>
      <c r="Z12" s="4419"/>
      <c r="AA12" s="35"/>
      <c r="AB12" s="35"/>
      <c r="AC12" s="751"/>
      <c r="AD12" s="38"/>
      <c r="AE12" s="4422">
        <f t="shared" ca="1" si="6"/>
        <v>0</v>
      </c>
      <c r="AF12" s="4423"/>
      <c r="AG12" s="4424">
        <f t="shared" si="7"/>
        <v>0</v>
      </c>
      <c r="AH12" s="4413"/>
      <c r="AI12" s="4427"/>
      <c r="AJ12" s="4423"/>
      <c r="AK12" s="42"/>
      <c r="AL12" s="43"/>
      <c r="AM12" s="44"/>
      <c r="AN12" s="1347"/>
      <c r="AO12" s="4365" t="e">
        <f t="shared" ca="1" si="8"/>
        <v>#REF!</v>
      </c>
      <c r="AP12" s="4365">
        <f t="shared" si="9"/>
        <v>0</v>
      </c>
      <c r="AQ12" s="4365">
        <f t="shared" si="10"/>
        <v>0</v>
      </c>
      <c r="AR12" s="4365">
        <f t="shared" si="11"/>
        <v>0</v>
      </c>
      <c r="AS12" s="4365">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89">
        <f>SUMIF('数据-汇总表'!C$19:C$33,A13,'数据-汇总表'!E$19:E$33)</f>
        <v>0</v>
      </c>
      <c r="L13" s="4392"/>
      <c r="M13" s="4391">
        <f>ROUND(K13*L13/10000,0)</f>
        <v>0</v>
      </c>
      <c r="N13" s="3757"/>
      <c r="O13" s="4391" t="str">
        <f t="shared" si="3"/>
        <v>——</v>
      </c>
      <c r="P13" s="4170" t="str">
        <f t="shared" si="4"/>
        <v>——</v>
      </c>
      <c r="Q13" s="3756"/>
      <c r="R13" s="4408">
        <f ca="1">SUMIF('数据-汇总表'!C$19:C$33,A13,'数据-汇总表'!R$19:R$27)</f>
        <v>0</v>
      </c>
      <c r="S13" s="4365">
        <f>IF('数据-汇总表'!$I$17="按面积比例",SUMIF('数据-汇总表'!C$19:C$33,A13,'数据-汇总表'!K$19:K$33),SUMIF('数据-汇总表'!C$19:C$33,A13,'数据-汇总表'!N$19:N$33))</f>
        <v>0</v>
      </c>
      <c r="T13" s="4409">
        <f t="shared" si="5"/>
        <v>0</v>
      </c>
      <c r="U13" s="4415"/>
      <c r="V13" s="36"/>
      <c r="W13" s="36"/>
      <c r="X13" s="751"/>
      <c r="Y13" s="37"/>
      <c r="Z13" s="4418"/>
      <c r="AA13" s="35"/>
      <c r="AB13" s="35"/>
      <c r="AC13" s="751"/>
      <c r="AD13" s="38"/>
      <c r="AE13" s="4422">
        <f t="shared" ca="1" si="6"/>
        <v>0</v>
      </c>
      <c r="AF13" s="4423"/>
      <c r="AG13" s="4424">
        <f t="shared" si="7"/>
        <v>0</v>
      </c>
      <c r="AH13" s="4413"/>
      <c r="AI13" s="4427"/>
      <c r="AJ13" s="4423"/>
      <c r="AK13" s="39"/>
      <c r="AL13" s="40"/>
      <c r="AM13" s="41"/>
      <c r="AN13" s="1347"/>
      <c r="AO13" s="4365" t="e">
        <f t="shared" ca="1" si="8"/>
        <v>#REF!</v>
      </c>
      <c r="AP13" s="4365">
        <f t="shared" si="9"/>
        <v>0</v>
      </c>
      <c r="AQ13" s="4365">
        <f t="shared" si="10"/>
        <v>0</v>
      </c>
      <c r="AR13" s="4365">
        <f t="shared" si="11"/>
        <v>0</v>
      </c>
      <c r="AS13" s="4365">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89">
        <f>SUMIF('数据-汇总表'!C$19:C$33,A14,'数据-汇总表'!E$19:E$33)</f>
        <v>281.97000000000003</v>
      </c>
      <c r="L14" s="4392">
        <f>L6</f>
        <v>5000</v>
      </c>
      <c r="M14" s="4391">
        <f t="shared" si="1"/>
        <v>141</v>
      </c>
      <c r="N14" s="3757">
        <f>N6</f>
        <v>0.85</v>
      </c>
      <c r="O14" s="4391" t="str">
        <f t="shared" si="3"/>
        <v>——</v>
      </c>
      <c r="P14" s="4170" t="str">
        <f t="shared" si="4"/>
        <v>——</v>
      </c>
      <c r="Q14" s="3758"/>
      <c r="R14" s="4408"/>
      <c r="S14" s="4365"/>
      <c r="T14" s="4409"/>
      <c r="U14" s="4416"/>
      <c r="V14" s="746"/>
      <c r="W14" s="746"/>
      <c r="X14" s="747"/>
      <c r="Y14" s="748"/>
      <c r="Z14" s="4420"/>
      <c r="AA14" s="750"/>
      <c r="AB14" s="750"/>
      <c r="AC14" s="751"/>
      <c r="AD14" s="747"/>
      <c r="AE14" s="4422"/>
      <c r="AF14" s="516"/>
      <c r="AG14" s="4424"/>
      <c r="AH14" s="4422"/>
      <c r="AI14" s="4338"/>
      <c r="AJ14" s="516"/>
      <c r="AK14" s="753"/>
      <c r="AL14" s="754"/>
      <c r="AM14" s="755"/>
      <c r="AN14" s="2152"/>
      <c r="AO14" s="4428"/>
      <c r="AP14" s="4428"/>
      <c r="AQ14" s="4428"/>
      <c r="AR14" s="4428"/>
      <c r="AS14" s="442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89">
        <f>SUMIF('数据-汇总表'!C$19:C$33,A15,'数据-汇总表'!E$19:E$33)</f>
        <v>0</v>
      </c>
      <c r="L15" s="4391"/>
      <c r="M15" s="4391"/>
      <c r="N15" s="3759"/>
      <c r="O15" s="4391"/>
      <c r="P15" s="4170"/>
      <c r="Q15" s="3758"/>
      <c r="R15" s="4408"/>
      <c r="S15" s="4365"/>
      <c r="T15" s="4409"/>
      <c r="U15" s="4416"/>
      <c r="V15" s="746"/>
      <c r="W15" s="746"/>
      <c r="X15" s="747"/>
      <c r="Y15" s="748"/>
      <c r="Z15" s="4420"/>
      <c r="AA15" s="750"/>
      <c r="AB15" s="750"/>
      <c r="AC15" s="751"/>
      <c r="AD15" s="747"/>
      <c r="AE15" s="4422"/>
      <c r="AF15" s="516"/>
      <c r="AG15" s="4424"/>
      <c r="AH15" s="4422"/>
      <c r="AI15" s="4338"/>
      <c r="AJ15" s="516"/>
      <c r="AK15" s="753"/>
      <c r="AL15" s="754"/>
      <c r="AM15" s="755"/>
      <c r="AN15" s="2152"/>
      <c r="AO15" s="4428"/>
      <c r="AP15" s="4428"/>
      <c r="AQ15" s="4428"/>
      <c r="AR15" s="4428"/>
      <c r="AS15" s="442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3">
        <f>SUM(K6:K15)</f>
        <v>39707.96</v>
      </c>
      <c r="L16" s="4394">
        <f>ROUND(M16*10000/SUM(K6:K14),0)</f>
        <v>5000</v>
      </c>
      <c r="M16" s="4394">
        <f>SUM(M6:M14)</f>
        <v>19854</v>
      </c>
      <c r="N16" s="3760">
        <f>ROUND(SUMPRODUCT(M6:M14,N6:N14)/M16,3)</f>
        <v>0.85</v>
      </c>
      <c r="O16" s="4394">
        <f>SUM(O6:O14)</f>
        <v>0</v>
      </c>
      <c r="P16" s="4394">
        <f>SUM(P6:P14)</f>
        <v>0</v>
      </c>
      <c r="Q16" s="3761">
        <f>ROUND(SUMPRODUCT(Q6:Q13,K6:K13)/SUMPRODUCT((Q6:Q13&gt;0)*(K6:K13)),2)</f>
        <v>0.15</v>
      </c>
      <c r="R16" s="4410">
        <f ca="1">SUM(R6:R13)</f>
        <v>6294.36</v>
      </c>
      <c r="S16" s="4411">
        <f>SUM(S6:S13)</f>
        <v>281.97000000000003</v>
      </c>
      <c r="T16" s="4412">
        <f>IF(SUMIF(T6:T13,"&lt;9E307")=M14,SUMIF(T6:T13,"&lt;9E307"),"有误，请检查")</f>
        <v>141</v>
      </c>
      <c r="U16" s="4417"/>
      <c r="V16" s="46"/>
      <c r="W16" s="46"/>
      <c r="X16" s="48"/>
      <c r="Y16" s="47"/>
      <c r="Z16" s="4421"/>
      <c r="AA16" s="46"/>
      <c r="AB16" s="46"/>
      <c r="AC16" s="48"/>
      <c r="AD16" s="48"/>
      <c r="AE16" s="4417"/>
      <c r="AF16" s="4425"/>
      <c r="AG16" s="4426"/>
      <c r="AH16" s="4417"/>
      <c r="AI16" s="4421"/>
      <c r="AJ16" s="4421"/>
      <c r="AK16" s="46"/>
      <c r="AL16" s="46"/>
      <c r="AM16" s="47"/>
      <c r="AN16" s="2152"/>
      <c r="AO16" s="4428"/>
      <c r="AP16" s="4428"/>
      <c r="AQ16" s="4428"/>
      <c r="AR16" s="4428"/>
      <c r="AS16" s="4365">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430"/>
      <c r="AP17" s="4430"/>
      <c r="AQ17" s="4430"/>
      <c r="AR17" s="4430"/>
      <c r="AS17" s="4431"/>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57" t="s">
        <v>1197</v>
      </c>
      <c r="B19" s="4395">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6">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6">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39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39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39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3"/>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3862</v>
      </c>
      <c r="K26" s="2153" t="s">
        <v>3863</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399"/>
      <c r="C27" s="2277" t="s">
        <v>2214</v>
      </c>
      <c r="D27" s="2160"/>
      <c r="E27" s="2142"/>
      <c r="F27" s="2142"/>
      <c r="G27" s="2154"/>
      <c r="H27" s="2154"/>
      <c r="I27" s="2154"/>
      <c r="J27" s="2153"/>
      <c r="K27" s="2153" t="s">
        <v>3864</v>
      </c>
      <c r="L27" s="2153" t="s">
        <v>3865</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0">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1">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2">
        <v>200</v>
      </c>
      <c r="C30" s="2161"/>
      <c r="D30" s="2160"/>
      <c r="E30" s="2142"/>
      <c r="F30" s="2142"/>
      <c r="G30" s="2154"/>
      <c r="H30" s="2154"/>
      <c r="I30" s="2154"/>
      <c r="J30" s="2153"/>
      <c r="K30" s="2153" t="s">
        <v>3866</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397">
        <f>B30-B32</f>
        <v>200</v>
      </c>
      <c r="C31" s="2159"/>
      <c r="D31" s="2160"/>
      <c r="E31" s="2142"/>
      <c r="F31" s="2142"/>
      <c r="G31" s="2154"/>
      <c r="H31" s="2154"/>
      <c r="I31" s="2154"/>
      <c r="J31" s="2153"/>
      <c r="K31" s="2153" t="s">
        <v>3867</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3"/>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86">
        <v>0.05</v>
      </c>
      <c r="C33" s="4149" t="s">
        <v>3844</v>
      </c>
      <c r="D33" s="2157"/>
      <c r="E33" s="2154"/>
      <c r="F33" s="2154"/>
      <c r="G33" s="2154"/>
      <c r="H33" s="2154">
        <f>B33*L16</f>
        <v>250</v>
      </c>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0">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58" t="s">
        <v>3310</v>
      </c>
      <c r="B36" s="3773">
        <v>0.01</v>
      </c>
      <c r="C36" s="4150" t="s">
        <v>3845</v>
      </c>
      <c r="D36" s="2160"/>
      <c r="E36" s="2142"/>
      <c r="F36" s="2142"/>
      <c r="G36" s="2154"/>
      <c r="H36" s="2154">
        <f>L16*B36</f>
        <v>50</v>
      </c>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9" t="s">
        <v>3311</v>
      </c>
      <c r="B37" s="3774">
        <v>0.01</v>
      </c>
      <c r="C37" s="4150" t="s">
        <v>3846</v>
      </c>
      <c r="D37" s="2157"/>
      <c r="E37" s="2154"/>
      <c r="F37" s="2154"/>
      <c r="G37" s="2154"/>
      <c r="H37" s="2154">
        <f>L16*B37</f>
        <v>50</v>
      </c>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0"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4"/>
      <c r="C55" s="4405">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4"/>
      <c r="C56" s="4405">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4"/>
      <c r="C57" s="4405">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4"/>
      <c r="C58" s="4405">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4"/>
      <c r="C59" s="4405">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4">
        <f>C60</f>
        <v>1.5</v>
      </c>
      <c r="C60" s="4405">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4"/>
      <c r="C61" s="440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4"/>
      <c r="C62" s="440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4"/>
      <c r="C63" s="440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07"/>
      <c r="C64" s="440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9" t="s">
        <v>2197</v>
      </c>
      <c r="B1" s="4580"/>
      <c r="C1" s="4580"/>
      <c r="D1" s="4580"/>
      <c r="E1" s="4580"/>
      <c r="F1" s="4580"/>
      <c r="G1" s="4580"/>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8">
        <f>SUM(B14:B23)</f>
        <v>39707.96</v>
      </c>
      <c r="C1" s="2167"/>
      <c r="D1" s="2167"/>
      <c r="E1" s="2167"/>
      <c r="F1" s="2167"/>
      <c r="G1" s="2168"/>
      <c r="H1" s="2169"/>
      <c r="I1" s="2169"/>
      <c r="J1" s="2169"/>
      <c r="K1" s="2169"/>
    </row>
    <row r="2" spans="1:11" ht="16.5">
      <c r="A2" s="2047" t="s">
        <v>641</v>
      </c>
      <c r="B2" s="4158">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8">
        <f ca="1">SUM(D14:D23)</f>
        <v>50360</v>
      </c>
      <c r="C5" s="4158">
        <f ca="1">ROUND(B5*10000/$B$1,0)</f>
        <v>12683</v>
      </c>
      <c r="D5" s="4158">
        <f ca="1">ROUND(B5*10000/$B$2,0)</f>
        <v>80008</v>
      </c>
      <c r="E5" s="2167"/>
      <c r="F5" s="2168"/>
      <c r="G5" s="2168"/>
      <c r="H5" s="2169"/>
      <c r="I5" s="2169"/>
      <c r="J5" s="2169"/>
      <c r="K5" s="2169"/>
    </row>
    <row r="6" spans="1:11" ht="16.5">
      <c r="A6" s="2047" t="s">
        <v>644</v>
      </c>
      <c r="B6" s="4158">
        <f ca="1">SUM(G14:G23)</f>
        <v>50360</v>
      </c>
      <c r="C6" s="4158">
        <f ca="1">ROUND(B6*10000/$B$1,0)</f>
        <v>12683</v>
      </c>
      <c r="D6" s="4158">
        <f ca="1">ROUND(B6*10000/$B$2,0)</f>
        <v>80008</v>
      </c>
      <c r="E6" s="2167"/>
      <c r="F6" s="2168"/>
      <c r="G6" s="2168"/>
      <c r="H6" s="2169"/>
      <c r="I6" s="2169"/>
      <c r="J6" s="2169"/>
      <c r="K6" s="2169"/>
    </row>
    <row r="7" spans="1:11" ht="16.5">
      <c r="A7" s="2047" t="s">
        <v>652</v>
      </c>
      <c r="B7" s="4158">
        <f>SUM(H14:H23)</f>
        <v>0</v>
      </c>
      <c r="C7" s="4158" t="str">
        <f>IF(B7=H14,结果表!H110,ROUND(B7*10000/$B$1,0))</f>
        <v>——</v>
      </c>
      <c r="D7" s="4158">
        <f>ROUND(B7*10000/$B$2,0)</f>
        <v>0</v>
      </c>
      <c r="E7" s="2167"/>
      <c r="F7" s="2168"/>
      <c r="G7" s="2168"/>
      <c r="H7" s="2169"/>
      <c r="I7" s="2169"/>
      <c r="J7" s="2169"/>
      <c r="K7" s="2169"/>
    </row>
    <row r="8" spans="1:11" ht="16.5">
      <c r="A8" s="2047" t="s">
        <v>581</v>
      </c>
      <c r="B8" s="4158">
        <f>SUM(I14:I23)</f>
        <v>0</v>
      </c>
      <c r="C8" s="4158" t="str">
        <f>IF(B8=I14,结果表!H112,ROUND(B8*10000/$B$1,0))</f>
        <v>——</v>
      </c>
      <c r="D8" s="4158">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8">
        <f>IF(E10="",0,ROUND(B1*(E10*365/G10)/10000,0))</f>
        <v>0</v>
      </c>
      <c r="C10" s="2047" t="s">
        <v>3258</v>
      </c>
      <c r="D10" s="2047" t="s">
        <v>3259</v>
      </c>
      <c r="E10" s="4159"/>
      <c r="F10" s="2803" t="s">
        <v>3260</v>
      </c>
      <c r="G10" s="4160"/>
      <c r="H10" s="2169"/>
      <c r="I10" s="2169"/>
      <c r="J10" s="2169"/>
      <c r="K10" s="2169"/>
    </row>
    <row r="11" spans="1:11" ht="16.5">
      <c r="A11" s="2047" t="s">
        <v>658</v>
      </c>
      <c r="B11" s="4157"/>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4">
        <f>结果表!B118</f>
        <v>39707.96</v>
      </c>
      <c r="C14" s="4154">
        <f>结果表!C118</f>
        <v>6294.36</v>
      </c>
      <c r="D14" s="4154">
        <f ca="1">结果表!H118</f>
        <v>50360</v>
      </c>
      <c r="E14" s="4154">
        <f ca="1">ROUND(D14*10000/B14,0)</f>
        <v>12683</v>
      </c>
      <c r="F14" s="4154">
        <f ca="1">ROUND(D14*10000/C14,0)</f>
        <v>80008</v>
      </c>
      <c r="G14" s="4154">
        <f ca="1">结果表!D122</f>
        <v>50360</v>
      </c>
      <c r="H14" s="4154"/>
      <c r="I14" s="4154"/>
      <c r="J14" s="2168"/>
      <c r="K14" s="2169"/>
    </row>
    <row r="15" spans="1:11" ht="16.5">
      <c r="A15" s="2052" t="s">
        <v>637</v>
      </c>
      <c r="B15" s="4155"/>
      <c r="C15" s="4155"/>
      <c r="D15" s="4155"/>
      <c r="E15" s="4154" t="e">
        <f t="shared" ref="E15:E23" si="0">ROUND(D15*10000/B15,0)</f>
        <v>#DIV/0!</v>
      </c>
      <c r="F15" s="4154" t="e">
        <f t="shared" ref="F15:F23" si="1">ROUND(D15*10000/C15,0)</f>
        <v>#DIV/0!</v>
      </c>
      <c r="G15" s="4156"/>
      <c r="H15" s="4156"/>
      <c r="I15" s="4155"/>
      <c r="J15" s="2168"/>
      <c r="K15" s="2169"/>
    </row>
    <row r="16" spans="1:11" ht="16.5">
      <c r="A16" s="2052" t="s">
        <v>636</v>
      </c>
      <c r="B16" s="4155"/>
      <c r="C16" s="4155"/>
      <c r="D16" s="4155"/>
      <c r="E16" s="4154" t="e">
        <f t="shared" si="0"/>
        <v>#DIV/0!</v>
      </c>
      <c r="F16" s="4154" t="e">
        <f t="shared" si="1"/>
        <v>#DIV/0!</v>
      </c>
      <c r="G16" s="4156"/>
      <c r="H16" s="4156"/>
      <c r="I16" s="4155"/>
      <c r="J16" s="2169"/>
      <c r="K16" s="2169"/>
    </row>
    <row r="17" spans="1:11" ht="16.5">
      <c r="A17" s="2052" t="s">
        <v>635</v>
      </c>
      <c r="B17" s="4155"/>
      <c r="C17" s="4155"/>
      <c r="D17" s="4155"/>
      <c r="E17" s="4154" t="e">
        <f t="shared" si="0"/>
        <v>#DIV/0!</v>
      </c>
      <c r="F17" s="4154" t="e">
        <f t="shared" si="1"/>
        <v>#DIV/0!</v>
      </c>
      <c r="G17" s="4156"/>
      <c r="H17" s="4156"/>
      <c r="I17" s="4155"/>
      <c r="J17" s="2169"/>
      <c r="K17" s="2169"/>
    </row>
    <row r="18" spans="1:11" ht="16.5">
      <c r="A18" s="2052" t="s">
        <v>634</v>
      </c>
      <c r="B18" s="4155"/>
      <c r="C18" s="4155"/>
      <c r="D18" s="4155"/>
      <c r="E18" s="4154" t="e">
        <f t="shared" si="0"/>
        <v>#DIV/0!</v>
      </c>
      <c r="F18" s="4154" t="e">
        <f t="shared" si="1"/>
        <v>#DIV/0!</v>
      </c>
      <c r="G18" s="4155"/>
      <c r="H18" s="4155"/>
      <c r="I18" s="4155"/>
      <c r="J18" s="2169"/>
      <c r="K18" s="2169"/>
    </row>
    <row r="19" spans="1:11" ht="16.5">
      <c r="A19" s="2052" t="s">
        <v>633</v>
      </c>
      <c r="B19" s="4155"/>
      <c r="C19" s="4155"/>
      <c r="D19" s="4155"/>
      <c r="E19" s="4154" t="e">
        <f t="shared" si="0"/>
        <v>#DIV/0!</v>
      </c>
      <c r="F19" s="4154" t="e">
        <f t="shared" si="1"/>
        <v>#DIV/0!</v>
      </c>
      <c r="G19" s="4155"/>
      <c r="H19" s="4155"/>
      <c r="I19" s="4155"/>
      <c r="J19" s="2169"/>
      <c r="K19" s="2169"/>
    </row>
    <row r="20" spans="1:11" ht="16.5">
      <c r="A20" s="2052" t="s">
        <v>632</v>
      </c>
      <c r="B20" s="4155"/>
      <c r="C20" s="4155"/>
      <c r="D20" s="4155"/>
      <c r="E20" s="4154" t="e">
        <f t="shared" si="0"/>
        <v>#DIV/0!</v>
      </c>
      <c r="F20" s="4154" t="e">
        <f t="shared" si="1"/>
        <v>#DIV/0!</v>
      </c>
      <c r="G20" s="4155"/>
      <c r="H20" s="4155"/>
      <c r="I20" s="4155"/>
      <c r="J20" s="2169"/>
      <c r="K20" s="2169"/>
    </row>
    <row r="21" spans="1:11" ht="16.5">
      <c r="A21" s="2052" t="s">
        <v>631</v>
      </c>
      <c r="B21" s="4155"/>
      <c r="C21" s="4155"/>
      <c r="D21" s="4155"/>
      <c r="E21" s="4154" t="e">
        <f t="shared" si="0"/>
        <v>#DIV/0!</v>
      </c>
      <c r="F21" s="4154" t="e">
        <f t="shared" si="1"/>
        <v>#DIV/0!</v>
      </c>
      <c r="G21" s="4155"/>
      <c r="H21" s="4155"/>
      <c r="I21" s="4155"/>
      <c r="J21" s="2169"/>
      <c r="K21" s="2169"/>
    </row>
    <row r="22" spans="1:11" ht="16.5">
      <c r="A22" s="2052" t="s">
        <v>630</v>
      </c>
      <c r="B22" s="4155"/>
      <c r="C22" s="4155"/>
      <c r="D22" s="4155"/>
      <c r="E22" s="4154" t="e">
        <f t="shared" si="0"/>
        <v>#DIV/0!</v>
      </c>
      <c r="F22" s="4154" t="e">
        <f t="shared" si="1"/>
        <v>#DIV/0!</v>
      </c>
      <c r="G22" s="4155"/>
      <c r="H22" s="4155"/>
      <c r="I22" s="4155"/>
      <c r="J22" s="2169"/>
      <c r="K22" s="2169"/>
    </row>
    <row r="23" spans="1:11" ht="16.5">
      <c r="A23" s="2052" t="s">
        <v>629</v>
      </c>
      <c r="B23" s="4155"/>
      <c r="C23" s="4155"/>
      <c r="D23" s="4155"/>
      <c r="E23" s="4157" t="e">
        <f t="shared" si="0"/>
        <v>#DIV/0!</v>
      </c>
      <c r="F23" s="4157" t="e">
        <f t="shared" si="1"/>
        <v>#DIV/0!</v>
      </c>
      <c r="G23" s="4155"/>
      <c r="H23" s="4155"/>
      <c r="I23" s="4155"/>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19" sqref="D119:I119"/>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24" t="str">
        <f>项目基本情况!S2</f>
        <v>北京市房地产</v>
      </c>
      <c r="B2" s="4625"/>
      <c r="C2" s="4625"/>
      <c r="D2" s="4625"/>
      <c r="E2" s="4625"/>
      <c r="F2" s="4625"/>
      <c r="G2" s="4625"/>
      <c r="H2" s="4625"/>
      <c r="I2" s="4626"/>
    </row>
    <row r="3" spans="1:12" ht="12.75">
      <c r="A3" s="4628" t="s">
        <v>1248</v>
      </c>
      <c r="B3" s="4629"/>
      <c r="C3" s="4629"/>
      <c r="D3" s="4629"/>
      <c r="E3" s="4629"/>
      <c r="F3" s="4629"/>
      <c r="G3" s="4629"/>
      <c r="H3" s="4629"/>
      <c r="I3" s="4629"/>
    </row>
    <row r="4" spans="1:12" ht="14.25">
      <c r="A4" s="1382" t="s">
        <v>1249</v>
      </c>
      <c r="B4" s="1383" t="s">
        <v>1250</v>
      </c>
      <c r="C4" s="4058" t="s">
        <v>4009</v>
      </c>
      <c r="D4" s="4058" t="s">
        <v>3891</v>
      </c>
      <c r="E4" s="4630" t="s">
        <v>1251</v>
      </c>
      <c r="F4" s="4631"/>
      <c r="G4" s="4631"/>
      <c r="H4" s="4631"/>
      <c r="I4" s="463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7" t="s">
        <v>1252</v>
      </c>
      <c r="B5" s="4607">
        <v>25</v>
      </c>
      <c r="C5" s="4583"/>
      <c r="D5" s="4627"/>
      <c r="E5" s="53" t="s">
        <v>1253</v>
      </c>
      <c r="F5" s="1384"/>
      <c r="G5" s="1384"/>
      <c r="H5" s="1384"/>
      <c r="I5" s="1019"/>
    </row>
    <row r="6" spans="1:12" ht="12.75">
      <c r="A6" s="4617"/>
      <c r="B6" s="4607"/>
      <c r="C6" s="4584"/>
      <c r="D6" s="4627"/>
      <c r="E6" s="53" t="s">
        <v>1254</v>
      </c>
      <c r="F6" s="1384"/>
      <c r="G6" s="1384"/>
      <c r="H6" s="1384"/>
      <c r="I6" s="1019"/>
    </row>
    <row r="7" spans="1:12" ht="12.75">
      <c r="A7" s="4617"/>
      <c r="B7" s="4607"/>
      <c r="C7" s="4585"/>
      <c r="D7" s="4627"/>
      <c r="E7" s="53" t="s">
        <v>1255</v>
      </c>
      <c r="F7" s="1384"/>
      <c r="G7" s="1384"/>
      <c r="H7" s="1384"/>
      <c r="I7" s="1019"/>
    </row>
    <row r="8" spans="1:12" ht="12.75">
      <c r="A8" s="4617" t="s">
        <v>1256</v>
      </c>
      <c r="B8" s="4607">
        <v>15</v>
      </c>
      <c r="C8" s="4583"/>
      <c r="D8" s="4627"/>
      <c r="E8" s="53" t="s">
        <v>1257</v>
      </c>
      <c r="F8" s="1384"/>
      <c r="G8" s="1384"/>
      <c r="H8" s="1384"/>
      <c r="I8" s="1019"/>
    </row>
    <row r="9" spans="1:12" ht="12.75">
      <c r="A9" s="4617"/>
      <c r="B9" s="4607"/>
      <c r="C9" s="4585"/>
      <c r="D9" s="4627"/>
      <c r="E9" s="53" t="s">
        <v>1258</v>
      </c>
      <c r="F9" s="1384"/>
      <c r="G9" s="1384"/>
      <c r="H9" s="1384"/>
      <c r="I9" s="1019"/>
    </row>
    <row r="10" spans="1:12" ht="12.75">
      <c r="A10" s="4617" t="s">
        <v>1259</v>
      </c>
      <c r="B10" s="4607">
        <v>15</v>
      </c>
      <c r="C10" s="4583"/>
      <c r="D10" s="4627"/>
      <c r="E10" s="53" t="s">
        <v>1260</v>
      </c>
      <c r="F10" s="1384"/>
      <c r="G10" s="1384"/>
      <c r="H10" s="1384"/>
      <c r="I10" s="1019"/>
    </row>
    <row r="11" spans="1:12" ht="12.75">
      <c r="A11" s="4617"/>
      <c r="B11" s="4607"/>
      <c r="C11" s="4585"/>
      <c r="D11" s="4627"/>
      <c r="E11" s="53" t="s">
        <v>1261</v>
      </c>
      <c r="F11" s="1384"/>
      <c r="G11" s="1384"/>
      <c r="H11" s="1384"/>
      <c r="I11" s="1019"/>
    </row>
    <row r="12" spans="1:12" ht="12.75">
      <c r="A12" s="4617" t="s">
        <v>1262</v>
      </c>
      <c r="B12" s="4607">
        <v>15</v>
      </c>
      <c r="C12" s="4583"/>
      <c r="D12" s="4627"/>
      <c r="E12" s="53" t="s">
        <v>1263</v>
      </c>
      <c r="F12" s="1384"/>
      <c r="G12" s="1384"/>
      <c r="H12" s="1384"/>
      <c r="I12" s="1019"/>
    </row>
    <row r="13" spans="1:12" ht="12.75">
      <c r="A13" s="4617"/>
      <c r="B13" s="4607"/>
      <c r="C13" s="4585"/>
      <c r="D13" s="4627"/>
      <c r="E13" s="53" t="s">
        <v>1264</v>
      </c>
      <c r="F13" s="1384"/>
      <c r="G13" s="1384"/>
      <c r="H13" s="1384"/>
      <c r="I13" s="1019"/>
    </row>
    <row r="14" spans="1:12" ht="12.75">
      <c r="A14" s="4617" t="s">
        <v>1265</v>
      </c>
      <c r="B14" s="4607">
        <v>30</v>
      </c>
      <c r="C14" s="4583">
        <v>5</v>
      </c>
      <c r="D14" s="4627">
        <v>5</v>
      </c>
      <c r="E14" s="53" t="s">
        <v>1266</v>
      </c>
      <c r="F14" s="1384"/>
      <c r="G14" s="1384"/>
      <c r="H14" s="1384"/>
      <c r="I14" s="1019"/>
    </row>
    <row r="15" spans="1:12" ht="12.75">
      <c r="A15" s="4617"/>
      <c r="B15" s="4607"/>
      <c r="C15" s="4584"/>
      <c r="D15" s="4627"/>
      <c r="E15" s="53" t="s">
        <v>1267</v>
      </c>
      <c r="F15" s="1384"/>
      <c r="G15" s="1384"/>
      <c r="H15" s="1384"/>
      <c r="I15" s="1019"/>
    </row>
    <row r="16" spans="1:12" ht="12.75">
      <c r="A16" s="4617"/>
      <c r="B16" s="4607"/>
      <c r="C16" s="4585"/>
      <c r="D16" s="4627"/>
      <c r="E16" s="53" t="s">
        <v>1268</v>
      </c>
      <c r="F16" s="1384"/>
      <c r="G16" s="1384"/>
      <c r="H16" s="1384"/>
      <c r="I16" s="1019"/>
    </row>
    <row r="17" spans="1:36" ht="15">
      <c r="A17" s="1385" t="s">
        <v>1269</v>
      </c>
      <c r="B17" s="4057"/>
      <c r="C17" s="4161">
        <f>SUM(C5:C16)</f>
        <v>5</v>
      </c>
      <c r="D17" s="4161">
        <f>SUM(D5:D16)</f>
        <v>5</v>
      </c>
      <c r="E17" s="51"/>
      <c r="F17" s="51"/>
      <c r="G17" s="51"/>
      <c r="H17" s="51"/>
      <c r="I17" s="51"/>
      <c r="K17" s="191"/>
      <c r="L17" s="191" t="s">
        <v>1270</v>
      </c>
      <c r="M17" s="191" t="s">
        <v>1271</v>
      </c>
    </row>
    <row r="18" spans="1:36" ht="31.9" customHeight="1" thickBot="1">
      <c r="A18" s="1386" t="s">
        <v>1272</v>
      </c>
      <c r="B18" s="1387"/>
      <c r="C18" s="4162">
        <f>ROUND(C17/SUM(C17:D17),2)</f>
        <v>0.5</v>
      </c>
      <c r="D18" s="4162">
        <f>1-C18</f>
        <v>0.5</v>
      </c>
      <c r="E18" s="4592" t="s">
        <v>2046</v>
      </c>
      <c r="F18" s="4593"/>
      <c r="G18" s="4593"/>
      <c r="H18" s="4593"/>
      <c r="I18" s="4593"/>
      <c r="K18" s="191" t="s">
        <v>1273</v>
      </c>
      <c r="L18" s="4173">
        <f>IF(C1="",'数据-汇总表'!E3,SUMIF(项目类型,C1,'数据-汇总表'!E17:E26)+SUMIF(项目类型,C1,'数据-汇总表'!I17:I26))</f>
        <v>39707.96</v>
      </c>
      <c r="M18" s="4173">
        <f>IF(C1="",'数据-汇总表'!E3,SUMIF(项目类型,C1,'数据-汇总表'!E17:E26))</f>
        <v>39707.96</v>
      </c>
    </row>
    <row r="19" spans="1:36" ht="15">
      <c r="A19" s="1388" t="s">
        <v>1274</v>
      </c>
      <c r="B19" s="1389" t="s">
        <v>1275</v>
      </c>
      <c r="C19" s="4163">
        <f ca="1">SUMIF(INDIRECT("'"&amp;C4&amp;"'"&amp;"!A:A"),结果表!B19,INDIRECT("'"&amp;C4&amp;"'"&amp;"!B:B"))</f>
        <v>63765</v>
      </c>
      <c r="D19" s="4164">
        <f ca="1">SUMIF(INDIRECT("'"&amp;D4&amp;"'"&amp;"!A:A"),结果表!B19,INDIRECT("'"&amp;D4&amp;"'"&amp;"!B:B"))</f>
        <v>36954</v>
      </c>
      <c r="E19" s="1388" t="s">
        <v>1276</v>
      </c>
      <c r="F19" s="1389" t="s">
        <v>1275</v>
      </c>
      <c r="G19" s="4169">
        <f ca="1">ROUND(C19*$C$18+D19*$D$18,0)</f>
        <v>50360</v>
      </c>
      <c r="H19" s="1390" t="s">
        <v>1277</v>
      </c>
      <c r="I19" s="4172">
        <f ca="1">ROUND(C19*$C$18+D19*$D$18,4)</f>
        <v>50359.5</v>
      </c>
      <c r="K19" s="191" t="s">
        <v>1278</v>
      </c>
      <c r="L19" s="4173">
        <f>IF(C1="",'数据-汇总表'!D3,SUMIF(项目类型,C1,'数据-汇总表'!D17:D26)+SUMIF(项目类型,C1,'数据-汇总表'!H17:H27))</f>
        <v>6294.36</v>
      </c>
      <c r="M19" s="4173">
        <f>IF(C1="",'数据-汇总表'!D3,SUMIF(项目类型,C1,'数据-汇总表'!D17:D26))</f>
        <v>6294.36</v>
      </c>
    </row>
    <row r="20" spans="1:36" ht="15">
      <c r="A20" s="1391"/>
      <c r="B20" s="744" t="s">
        <v>1279</v>
      </c>
      <c r="C20" s="4165">
        <f ca="1">SUMIF(INDIRECT("'"&amp;C4&amp;"'"&amp;"!A:A"),结果表!B20,INDIRECT("'"&amp;C4&amp;"'"&amp;"!B:B"))</f>
        <v>16173</v>
      </c>
      <c r="D20" s="4166">
        <f ca="1">SUMIF(INDIRECT("'"&amp;D4&amp;"'"&amp;"!A:A"),结果表!B20,INDIRECT("'"&amp;D4&amp;"'"&amp;"!B:B"))</f>
        <v>9373</v>
      </c>
      <c r="E20" s="1391"/>
      <c r="F20" s="744" t="s">
        <v>1279</v>
      </c>
      <c r="G20" s="4170">
        <f ca="1">ROUND(C20*$C$18+D20*$D$18,0)</f>
        <v>12773</v>
      </c>
      <c r="H20" s="586" t="s">
        <v>1280</v>
      </c>
      <c r="I20" s="51"/>
    </row>
    <row r="21" spans="1:36" ht="15" customHeight="1" thickBot="1">
      <c r="A21" s="592"/>
      <c r="B21" s="3861" t="s">
        <v>3675</v>
      </c>
      <c r="C21" s="4167">
        <f ca="1">SUMIF(INDIRECT("'"&amp;C4&amp;"'"&amp;"!A:A"),结果表!B21,INDIRECT("'"&amp;C4&amp;"'"&amp;"!B:B"))</f>
        <v>0</v>
      </c>
      <c r="D21" s="4168">
        <f ca="1">SUMIF(INDIRECT("'"&amp;D4&amp;"'"&amp;"!A:A"),结果表!B21,INDIRECT("'"&amp;D4&amp;"'"&amp;"!B:B"))</f>
        <v>0</v>
      </c>
      <c r="E21" s="1391"/>
      <c r="F21" s="841" t="s">
        <v>1281</v>
      </c>
      <c r="G21" s="4170">
        <f ca="1">ROUND(C21*$C$18+D21*$D$18,0)</f>
        <v>0</v>
      </c>
      <c r="H21" s="586" t="s">
        <v>1280</v>
      </c>
      <c r="I21" s="51"/>
    </row>
    <row r="22" spans="1:36" ht="15" thickBot="1">
      <c r="A22" s="1321" t="s">
        <v>1282</v>
      </c>
      <c r="B22" s="1392"/>
      <c r="C22" s="2917"/>
      <c r="D22" s="4482">
        <f ca="1">IF(C19&lt;D19,D19/C19-1,C19/D19-1)</f>
        <v>0.72552362396492942</v>
      </c>
      <c r="E22" s="3852"/>
      <c r="F22" s="3854"/>
      <c r="G22" s="4171">
        <f ca="1">ROUND(G19/('数据-汇总表'!D3/666.67),0)</f>
        <v>5334</v>
      </c>
      <c r="H22" s="3853" t="s">
        <v>3673</v>
      </c>
      <c r="I22" s="51"/>
    </row>
    <row r="23" spans="1:36" ht="13.5" thickBot="1">
      <c r="A23" s="1375"/>
      <c r="B23" s="1375"/>
      <c r="C23" s="1375"/>
      <c r="D23" s="1375"/>
      <c r="E23" s="51"/>
      <c r="F23" s="51"/>
      <c r="G23" s="51"/>
      <c r="H23" s="51"/>
      <c r="I23" s="51"/>
    </row>
    <row r="24" spans="1:36" ht="14.25">
      <c r="A24" s="4614" t="s">
        <v>1283</v>
      </c>
      <c r="B24" s="1389" t="s">
        <v>1275</v>
      </c>
      <c r="C24" s="4169">
        <f>IF(B30=0,0,D30)</f>
        <v>0</v>
      </c>
      <c r="D24" s="4174"/>
      <c r="E24" s="51"/>
      <c r="F24" s="51"/>
      <c r="G24" s="4480">
        <v>45717</v>
      </c>
      <c r="H24" s="51">
        <v>60424</v>
      </c>
      <c r="I24" s="4481" t="s">
        <v>4038</v>
      </c>
    </row>
    <row r="25" spans="1:36" ht="14.25">
      <c r="A25" s="4615"/>
      <c r="B25" s="3862" t="s">
        <v>3676</v>
      </c>
      <c r="C25" s="4175">
        <f>IF(B30=0,0,C30)</f>
        <v>0</v>
      </c>
      <c r="D25" s="4176"/>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7"/>
      <c r="B27" s="4178">
        <v>0</v>
      </c>
      <c r="C27" s="4178">
        <v>0</v>
      </c>
      <c r="D27" s="4179">
        <f>ROUND(C27*B27/10000,0)</f>
        <v>0</v>
      </c>
      <c r="E27" s="51"/>
      <c r="F27" s="51"/>
      <c r="G27" s="51"/>
      <c r="H27" s="51"/>
      <c r="I27" s="51"/>
    </row>
    <row r="28" spans="1:36" ht="14.25">
      <c r="A28" s="4177"/>
      <c r="B28" s="4178"/>
      <c r="C28" s="4178"/>
      <c r="D28" s="4179"/>
      <c r="E28" s="51"/>
      <c r="F28" s="51"/>
      <c r="G28" s="51"/>
      <c r="H28" s="51"/>
      <c r="I28" s="51"/>
    </row>
    <row r="29" spans="1:36" ht="14.25">
      <c r="A29" s="4177"/>
      <c r="B29" s="4178"/>
      <c r="C29" s="4178"/>
      <c r="D29" s="4179"/>
      <c r="E29" s="51"/>
      <c r="F29" s="51"/>
      <c r="G29" s="51"/>
      <c r="H29" s="51"/>
      <c r="I29" s="51"/>
    </row>
    <row r="30" spans="1:36" ht="15" thickBot="1">
      <c r="A30" s="57" t="s">
        <v>1288</v>
      </c>
      <c r="B30" s="4178"/>
      <c r="C30" s="4178"/>
      <c r="D30" s="4178"/>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0">
        <f ca="1">IF(D32="总价",G19-C24,G20-C25)</f>
        <v>50360</v>
      </c>
      <c r="D32" s="1397" t="s">
        <v>4010</v>
      </c>
      <c r="E32" s="51"/>
      <c r="F32" s="51"/>
      <c r="G32" s="51"/>
      <c r="H32" s="51"/>
      <c r="I32" s="51"/>
    </row>
    <row r="33" spans="1:19" ht="15">
      <c r="A33" s="573" t="s">
        <v>1290</v>
      </c>
      <c r="B33" s="1398"/>
      <c r="C33" s="1399" t="s">
        <v>4011</v>
      </c>
      <c r="D33" s="1400" t="s">
        <v>4009</v>
      </c>
      <c r="E33" s="1401" t="s">
        <v>1291</v>
      </c>
      <c r="F33" s="1402" t="str">
        <f>IF(D32="楼面单价","取值（单价）","取值（总价）")</f>
        <v>取值（总价）</v>
      </c>
      <c r="G33" s="51"/>
      <c r="H33" s="51"/>
      <c r="I33" s="51"/>
    </row>
    <row r="34" spans="1:19" ht="15">
      <c r="A34" s="1403"/>
      <c r="B34" s="1404" t="s">
        <v>1292</v>
      </c>
      <c r="C34" s="4181">
        <f ca="1">IF(C33="自定义",F34,C32-C35)</f>
        <v>30115</v>
      </c>
      <c r="D34" s="4483">
        <f ca="1">IF(C33="自定义",ROUND(C34/C32,3),IF(C33="收益比率",SUMIF(INDIRECT("'"&amp;D33&amp;"'"&amp;"!b:b"),"土地收益比率",INDIRECT("'"&amp;D33&amp;"'"&amp;"!c:c")),SUMIF(INDIRECT("'"&amp;D33&amp;"'"&amp;"!b:b"),"土地成本比率",INDIRECT("'"&amp;D33&amp;"'"&amp;"!c:c"))))</f>
        <v>0.59799999999999998</v>
      </c>
      <c r="E34" s="1405" t="s">
        <v>1293</v>
      </c>
      <c r="F34" s="4183"/>
      <c r="G34" s="51"/>
      <c r="H34" s="51"/>
      <c r="I34" s="51"/>
    </row>
    <row r="35" spans="1:19" ht="15.75" thickBot="1">
      <c r="A35" s="1406"/>
      <c r="B35" s="1407" t="s">
        <v>1294</v>
      </c>
      <c r="C35" s="4182">
        <f ca="1">IF(C33="自定义",F35,ROUND(C32*D35,0))</f>
        <v>20245</v>
      </c>
      <c r="D35" s="4484">
        <f ca="1">IF(C33="自定义",ROUND(C35/C32,3),IF(C33="收益比率",SUMIF(INDIRECT("'"&amp;D33&amp;"'"&amp;"!b:b"),"建筑物收益比率",INDIRECT("'"&amp;D33&amp;"'"&amp;"!c:c")),SUMIF(INDIRECT("'"&amp;D33&amp;"'"&amp;"!b:b"),"建筑物成本比率",INDIRECT("'"&amp;D33&amp;"'"&amp;"!c:c"))))</f>
        <v>0.40200000000000002</v>
      </c>
      <c r="E35" s="1408" t="s">
        <v>1295</v>
      </c>
      <c r="F35" s="4184"/>
      <c r="G35" s="51"/>
      <c r="H35" s="51"/>
      <c r="I35" s="51"/>
    </row>
    <row r="36" spans="1:19" ht="15.75" thickBot="1">
      <c r="A36" s="4620" t="s">
        <v>1296</v>
      </c>
      <c r="B36" s="1409" t="s">
        <v>1297</v>
      </c>
      <c r="C36" s="4185"/>
      <c r="D36" s="1410"/>
      <c r="E36" s="1411"/>
      <c r="F36" s="1412"/>
      <c r="G36" s="51"/>
      <c r="H36" s="51"/>
      <c r="I36" s="51"/>
    </row>
    <row r="37" spans="1:19" ht="15.75" thickBot="1">
      <c r="A37" s="4621"/>
      <c r="B37" s="1307" t="s">
        <v>1298</v>
      </c>
      <c r="C37" s="4186"/>
      <c r="D37" s="839"/>
      <c r="E37" s="839"/>
      <c r="F37" s="1412"/>
      <c r="G37" s="51"/>
      <c r="H37" s="51"/>
      <c r="I37" s="51"/>
    </row>
    <row r="38" spans="1:19" ht="15.75" thickBot="1">
      <c r="A38" s="4622"/>
      <c r="B38" s="1413" t="s">
        <v>1299</v>
      </c>
      <c r="C38" s="4187"/>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88"/>
      <c r="C40" s="4189"/>
      <c r="D40" s="4189"/>
      <c r="E40" s="4190"/>
      <c r="F40" s="1412"/>
      <c r="G40" s="51"/>
      <c r="H40" s="51"/>
      <c r="I40" s="51"/>
    </row>
    <row r="41" spans="1:19" ht="14.25">
      <c r="A41" s="1418" t="s">
        <v>1307</v>
      </c>
      <c r="B41" s="4188"/>
      <c r="C41" s="4189"/>
      <c r="D41" s="4189"/>
      <c r="E41" s="4190"/>
      <c r="F41" s="1412"/>
      <c r="G41" s="51"/>
      <c r="H41" s="51"/>
      <c r="I41" s="51"/>
    </row>
    <row r="42" spans="1:19" ht="15" thickBot="1">
      <c r="A42" s="1419"/>
      <c r="B42" s="4191"/>
      <c r="C42" s="4192"/>
      <c r="D42" s="4192"/>
      <c r="E42" s="4184"/>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11" t="s">
        <v>1310</v>
      </c>
      <c r="B45" s="4612"/>
      <c r="C45" s="4613"/>
      <c r="D45" s="4193">
        <f ca="1">ROUND(H101*F45,0)</f>
        <v>50360</v>
      </c>
      <c r="E45" s="61" t="s">
        <v>1311</v>
      </c>
      <c r="F45" s="62">
        <v>1</v>
      </c>
      <c r="G45" s="63" t="s">
        <v>1312</v>
      </c>
      <c r="H45" s="51"/>
      <c r="I45" s="51"/>
      <c r="J45" s="4684" t="s">
        <v>1313</v>
      </c>
      <c r="K45" s="4684"/>
      <c r="L45" s="4684"/>
      <c r="M45" s="4684"/>
      <c r="N45" s="4684"/>
      <c r="O45" s="4684"/>
    </row>
    <row r="46" spans="1:19" ht="14.25" customHeight="1">
      <c r="A46" s="4608" t="s">
        <v>1314</v>
      </c>
      <c r="B46" s="4609"/>
      <c r="C46" s="4609"/>
      <c r="D46" s="4609"/>
      <c r="E46" s="4609"/>
      <c r="F46" s="4609"/>
      <c r="G46" s="4610"/>
      <c r="H46" s="1428"/>
      <c r="I46" s="64"/>
      <c r="J46" s="2055">
        <v>1</v>
      </c>
      <c r="K46" s="4661" t="s">
        <v>1315</v>
      </c>
      <c r="L46" s="4661"/>
      <c r="M46" s="4685"/>
      <c r="N46" s="4685"/>
      <c r="O46" s="4685"/>
    </row>
    <row r="47" spans="1:19" ht="12" customHeight="1">
      <c r="A47" s="65" t="s">
        <v>1316</v>
      </c>
      <c r="B47" s="66"/>
      <c r="C47" s="67"/>
      <c r="D47" s="796" t="s">
        <v>1317</v>
      </c>
      <c r="E47" s="191" t="s">
        <v>1318</v>
      </c>
      <c r="F47" s="68" t="s">
        <v>1319</v>
      </c>
      <c r="G47" s="2070" t="s">
        <v>1320</v>
      </c>
      <c r="H47" s="2071"/>
      <c r="I47" s="64"/>
      <c r="J47" s="2055">
        <v>2</v>
      </c>
      <c r="K47" s="4661" t="s">
        <v>1321</v>
      </c>
      <c r="L47" s="4661"/>
      <c r="M47" s="4686">
        <f>'数据-取费表'!B2</f>
        <v>46041</v>
      </c>
      <c r="N47" s="4686"/>
      <c r="O47" s="4686"/>
    </row>
    <row r="48" spans="1:19" ht="25.5">
      <c r="A48" s="4623" t="s">
        <v>1322</v>
      </c>
      <c r="B48" s="4582"/>
      <c r="C48" s="4582"/>
      <c r="D48" s="4194">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661" t="s">
        <v>1324</v>
      </c>
      <c r="L48" s="4661"/>
      <c r="M48" s="4687">
        <f ca="1">H101</f>
        <v>50360</v>
      </c>
      <c r="N48" s="4687"/>
      <c r="O48" s="4687"/>
      <c r="R48" s="3880" t="s">
        <v>3690</v>
      </c>
      <c r="S48" s="3881"/>
    </row>
    <row r="49" spans="1:35" ht="25.5" customHeight="1">
      <c r="A49" s="4051" t="s">
        <v>1325</v>
      </c>
      <c r="B49" s="4606" t="s">
        <v>1326</v>
      </c>
      <c r="C49" s="4606"/>
      <c r="D49" s="4195">
        <v>0</v>
      </c>
      <c r="E49" s="212" t="s">
        <v>1327</v>
      </c>
      <c r="F49" s="4042" t="s">
        <v>26</v>
      </c>
      <c r="G49" s="4668"/>
      <c r="H49" s="3873" t="s">
        <v>2049</v>
      </c>
      <c r="I49" s="3874"/>
      <c r="J49" s="2055">
        <v>4</v>
      </c>
      <c r="K49" s="4661" t="str">
        <f>IF(项目基本情况!E8="房地产抵押价值","房地产抵押价值","抵押担保权已注销时的房地产抵押价值")</f>
        <v>房地产抵押价值</v>
      </c>
      <c r="L49" s="4661"/>
      <c r="M49" s="4687">
        <f ca="1">IF(项目基本情况!E8="房地产抵押价值",H107,H109)</f>
        <v>50360</v>
      </c>
      <c r="N49" s="4687"/>
      <c r="O49" s="4687"/>
      <c r="R49" s="3882" t="s">
        <v>3691</v>
      </c>
      <c r="S49" s="3880" t="s">
        <v>3692</v>
      </c>
    </row>
    <row r="50" spans="1:35" ht="25.5" customHeight="1">
      <c r="A50" s="4052"/>
      <c r="B50" s="4606" t="s">
        <v>1328</v>
      </c>
      <c r="C50" s="4606"/>
      <c r="D50" s="4196"/>
      <c r="E50" s="220"/>
      <c r="F50" s="4042"/>
      <c r="G50" s="4669"/>
      <c r="H50" s="3875" t="s">
        <v>2050</v>
      </c>
      <c r="I50" s="3874"/>
      <c r="J50" s="4684" t="s">
        <v>1329</v>
      </c>
      <c r="K50" s="4684"/>
      <c r="L50" s="4684"/>
      <c r="M50" s="4684"/>
      <c r="N50" s="4684"/>
      <c r="O50" s="4684"/>
      <c r="R50" s="3882" t="s">
        <v>3693</v>
      </c>
      <c r="S50" s="3880" t="s">
        <v>3694</v>
      </c>
    </row>
    <row r="51" spans="1:35" ht="20.45" customHeight="1">
      <c r="A51" s="4053"/>
      <c r="B51" s="4606" t="s">
        <v>1330</v>
      </c>
      <c r="C51" s="4606"/>
      <c r="D51" s="4197"/>
      <c r="E51" s="215"/>
      <c r="F51" s="4042"/>
      <c r="G51" s="4670"/>
      <c r="H51" s="3875" t="s">
        <v>2051</v>
      </c>
      <c r="I51" s="3874"/>
      <c r="J51" s="2056" t="s">
        <v>1331</v>
      </c>
      <c r="K51" s="4661" t="s">
        <v>1332</v>
      </c>
      <c r="L51" s="4661"/>
      <c r="M51" s="2056" t="s">
        <v>1333</v>
      </c>
      <c r="N51" s="2056" t="s">
        <v>1334</v>
      </c>
      <c r="O51" s="2056" t="s">
        <v>1335</v>
      </c>
      <c r="R51" s="3882" t="s">
        <v>3695</v>
      </c>
      <c r="S51" s="3881" t="s">
        <v>3696</v>
      </c>
    </row>
    <row r="52" spans="1:35" ht="24" customHeight="1">
      <c r="A52" s="4043" t="s">
        <v>1336</v>
      </c>
      <c r="B52" s="4606" t="s">
        <v>1337</v>
      </c>
      <c r="C52" s="4606"/>
      <c r="D52" s="4197">
        <f ca="1">ROUND(D45*F52/(1+F52),0)</f>
        <v>1467</v>
      </c>
      <c r="E52" s="4044" t="s">
        <v>1338</v>
      </c>
      <c r="F52" s="2074">
        <v>0.03</v>
      </c>
      <c r="G52" s="986" t="s">
        <v>3739</v>
      </c>
      <c r="H52" s="2068"/>
      <c r="I52" s="1429"/>
      <c r="J52" s="2055">
        <v>1</v>
      </c>
      <c r="K52" s="4662" t="s">
        <v>1339</v>
      </c>
      <c r="L52" s="4662"/>
      <c r="M52" s="4199">
        <f>D48</f>
        <v>0</v>
      </c>
      <c r="N52" s="2055" t="str">
        <f>E48</f>
        <v>销售额×税（费）率</v>
      </c>
      <c r="O52" s="4082">
        <f>F48</f>
        <v>0</v>
      </c>
      <c r="R52" s="3880" t="s">
        <v>3697</v>
      </c>
      <c r="S52" s="3880" t="s">
        <v>3701</v>
      </c>
    </row>
    <row r="53" spans="1:35" ht="12" customHeight="1">
      <c r="A53" s="4043" t="s">
        <v>1340</v>
      </c>
      <c r="B53" s="4618" t="s">
        <v>2202</v>
      </c>
      <c r="C53" s="4619"/>
      <c r="D53" s="4197">
        <f ca="1">IF(G53="2016年5月1日之前项目",ROUND(D45*F53/(1+F53),0),H63)</f>
        <v>4158</v>
      </c>
      <c r="E53" s="4044" t="str">
        <f>IF(G53="2016年5月1日之前项目","全额计税","进销项计算")</f>
        <v>进销项计算</v>
      </c>
      <c r="F53" s="2074">
        <f>IF(G53="2016年5月1日之前项目",5%,9%)</f>
        <v>0.09</v>
      </c>
      <c r="G53" s="4152"/>
      <c r="H53" s="2068"/>
      <c r="I53" s="1429"/>
      <c r="J53" s="2055">
        <v>2</v>
      </c>
      <c r="K53" s="4662" t="s">
        <v>1341</v>
      </c>
      <c r="L53" s="4662"/>
      <c r="M53" s="4199">
        <f t="shared" ref="M53:O54" ca="1" si="0">D55</f>
        <v>25</v>
      </c>
      <c r="N53" s="2055" t="str">
        <f t="shared" si="0"/>
        <v>销售额×税（费）率</v>
      </c>
      <c r="O53" s="4082" t="str">
        <f t="shared" si="0"/>
        <v>免征</v>
      </c>
      <c r="R53" s="3880" t="s">
        <v>3698</v>
      </c>
      <c r="S53" s="3881" t="s">
        <v>3705</v>
      </c>
    </row>
    <row r="54" spans="1:35" ht="12" customHeight="1">
      <c r="A54" s="4043" t="s">
        <v>1342</v>
      </c>
      <c r="B54" s="4618" t="s">
        <v>2203</v>
      </c>
      <c r="C54" s="4619"/>
      <c r="D54" s="4197">
        <f ca="1">IF(G54="2016年5月1日之前项目",C68,H63)</f>
        <v>4158</v>
      </c>
      <c r="E54" s="4065" t="str">
        <f>IF(G54="2016年5月1日之前项目","差额计税","进销项计算")</f>
        <v>进销项计算</v>
      </c>
      <c r="F54" s="2074">
        <f>IF(G54="2016年5月1日之前项目",5%,9%)</f>
        <v>0.09</v>
      </c>
      <c r="G54" s="4152"/>
      <c r="H54" s="2076"/>
      <c r="I54" s="1429"/>
      <c r="J54" s="2055">
        <v>3</v>
      </c>
      <c r="K54" s="4662" t="s">
        <v>1343</v>
      </c>
      <c r="L54" s="4662"/>
      <c r="M54" s="4199" t="e">
        <f t="shared" ca="1" si="0"/>
        <v>#VALUE!</v>
      </c>
      <c r="N54" s="2055" t="str">
        <f t="shared" si="0"/>
        <v>增值额×税（费）率</v>
      </c>
      <c r="O54" s="4083" t="str">
        <f t="shared" si="0"/>
        <v>免征</v>
      </c>
      <c r="P54" s="51"/>
      <c r="R54" s="3882" t="s">
        <v>3699</v>
      </c>
      <c r="S54" s="3881" t="s">
        <v>3702</v>
      </c>
    </row>
    <row r="55" spans="1:35" ht="24" customHeight="1">
      <c r="A55" s="4581" t="s">
        <v>1344</v>
      </c>
      <c r="B55" s="4582"/>
      <c r="C55" s="4582"/>
      <c r="D55" s="4194">
        <f ca="1">IF(H55="个人住宅",0,ROUND(D45*I55,0))</f>
        <v>25</v>
      </c>
      <c r="E55" s="4044" t="s">
        <v>1345</v>
      </c>
      <c r="F55" s="2074" t="str">
        <f>IF(H55="正常",I55,"免征")</f>
        <v>免征</v>
      </c>
      <c r="G55" s="2075"/>
      <c r="H55" s="2073"/>
      <c r="I55" s="69">
        <f>'数据-取费表'!B50</f>
        <v>5.0000000000000001E-4</v>
      </c>
      <c r="J55" s="2055">
        <f>IF(H59="非个人房产","",4)</f>
        <v>4</v>
      </c>
      <c r="K55" s="4662" t="str">
        <f>IF(H59="非个人房产","——","个人所得税")</f>
        <v>个人所得税</v>
      </c>
      <c r="L55" s="4662"/>
      <c r="M55" s="4200">
        <f ca="1">D59</f>
        <v>504</v>
      </c>
      <c r="N55" s="1627" t="str">
        <f>E59</f>
        <v>差额计税</v>
      </c>
      <c r="O55" s="4084">
        <f>F59</f>
        <v>0.01</v>
      </c>
      <c r="R55" s="3882" t="s">
        <v>3700</v>
      </c>
      <c r="S55" s="3881" t="s">
        <v>3703</v>
      </c>
    </row>
    <row r="56" spans="1:35" ht="24.75">
      <c r="A56" s="4581" t="s">
        <v>1346</v>
      </c>
      <c r="B56" s="4582"/>
      <c r="C56" s="4582"/>
      <c r="D56" s="4194"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689" t="str">
        <f>IF(项目基本情况!K6="上海银行","其他处置费用","")</f>
        <v/>
      </c>
      <c r="L56" s="4690"/>
      <c r="M56" s="4199" t="str">
        <f>IF(项目基本情况!K6="上海银行",M69,"")</f>
        <v/>
      </c>
      <c r="N56" s="4689" t="str">
        <f>IF(项目基本情况!K6="上海银行","包含处置中涉及的律师、诉讼、拍卖、评估等费用","")</f>
        <v/>
      </c>
      <c r="O56" s="4693"/>
      <c r="R56" s="3881"/>
      <c r="S56" s="3881" t="s">
        <v>3704</v>
      </c>
    </row>
    <row r="57" spans="1:35" ht="12.75">
      <c r="A57" s="1875" t="s">
        <v>1325</v>
      </c>
      <c r="B57" s="4618" t="s">
        <v>1349</v>
      </c>
      <c r="C57" s="4619"/>
      <c r="D57" s="4195">
        <v>0</v>
      </c>
      <c r="E57" s="212" t="s">
        <v>1327</v>
      </c>
      <c r="F57" s="191"/>
      <c r="G57" s="2075"/>
      <c r="H57" s="2079"/>
      <c r="I57" s="1430"/>
      <c r="J57" s="4662">
        <f>IF(AND(J55="",J56=""),4,IF(项目基本情况!K6="上海银行",结果表!J56+1,结果表!J55+1))</f>
        <v>5</v>
      </c>
      <c r="K57" s="4662" t="s">
        <v>1350</v>
      </c>
      <c r="L57" s="2057" t="s">
        <v>1351</v>
      </c>
      <c r="M57" s="2058"/>
      <c r="N57" s="4201">
        <f ca="1">SUMIF(M52:M56,"&lt;9e307")</f>
        <v>529</v>
      </c>
      <c r="O57" s="2059"/>
      <c r="P57" s="2171">
        <f ca="1">N57/M49</f>
        <v>1.0504368546465449E-2</v>
      </c>
      <c r="R57" s="4597" t="s">
        <v>3751</v>
      </c>
      <c r="S57" s="4598"/>
    </row>
    <row r="58" spans="1:35" ht="24.75">
      <c r="A58" s="1875" t="s">
        <v>1336</v>
      </c>
      <c r="B58" s="4618" t="s">
        <v>1352</v>
      </c>
      <c r="C58" s="4606"/>
      <c r="D58" s="4194">
        <f ca="1">IF(H58="转让取得",C81,C97)</f>
        <v>23332</v>
      </c>
      <c r="E58" s="4044" t="s">
        <v>1347</v>
      </c>
      <c r="F58" s="191" t="s">
        <v>26</v>
      </c>
      <c r="G58" s="2075"/>
      <c r="H58" s="2078"/>
      <c r="I58" s="1430"/>
      <c r="J58" s="4662"/>
      <c r="K58" s="4662"/>
      <c r="L58" s="2057" t="s">
        <v>1353</v>
      </c>
      <c r="M58" s="2060"/>
      <c r="N58" s="2061" t="str">
        <f ca="1">NUMBERSTRING(INT(N57*10000),2)&amp;"元整"</f>
        <v>伍佰贰拾玖万元整</v>
      </c>
      <c r="O58" s="2062"/>
      <c r="R58" s="4599"/>
      <c r="S58" s="4600"/>
    </row>
    <row r="59" spans="1:35" ht="24.75" thickBot="1">
      <c r="A59" s="4666" t="s">
        <v>1354</v>
      </c>
      <c r="B59" s="4667"/>
      <c r="C59" s="4667"/>
      <c r="D59" s="4198">
        <f ca="1">IF(H59="非个人房产","——",IF(H59="个人住宅（满五唯一有凭证）",0,IF(H59="个人其他（无凭证）",ROUND(D45/(1+'数据-取费表'!C43)*F59,0),ROUND(C67*F59,0))))</f>
        <v>504</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64">
        <f>J57+1</f>
        <v>6</v>
      </c>
      <c r="K59" s="4662" t="s">
        <v>1355</v>
      </c>
      <c r="L59" s="2055" t="s">
        <v>1351</v>
      </c>
      <c r="M59" s="2063"/>
      <c r="N59" s="2918">
        <f ca="1">M49-N57</f>
        <v>49831</v>
      </c>
      <c r="O59" s="2064"/>
      <c r="R59" s="3880" t="s">
        <v>3706</v>
      </c>
      <c r="S59" s="3880" t="s">
        <v>3707</v>
      </c>
    </row>
    <row r="60" spans="1:35" ht="12" customHeight="1" thickBot="1">
      <c r="A60" s="1431"/>
      <c r="B60" s="1375"/>
      <c r="C60" s="1375"/>
      <c r="D60" s="1375"/>
      <c r="E60" s="1222"/>
      <c r="F60" s="1430"/>
      <c r="G60" s="1430"/>
      <c r="H60" s="1432"/>
      <c r="I60" s="51"/>
      <c r="J60" s="4665"/>
      <c r="K60" s="4662"/>
      <c r="L60" s="2057" t="s">
        <v>1353</v>
      </c>
      <c r="M60" s="2060"/>
      <c r="N60" s="2919" t="str">
        <f ca="1">NUMBERSTRING(INT(N59*10000),2)&amp;"元整"</f>
        <v>肆亿玖仟捌佰叁拾壹万元整</v>
      </c>
      <c r="O60" s="2062"/>
      <c r="R60" s="3880" t="s">
        <v>3708</v>
      </c>
      <c r="S60" s="3880" t="s">
        <v>3750</v>
      </c>
    </row>
    <row r="61" spans="1:35" ht="14.25" thickBot="1">
      <c r="A61" s="4604" t="s">
        <v>3748</v>
      </c>
      <c r="B61" s="4605"/>
      <c r="C61" s="4605"/>
      <c r="D61" s="4605"/>
      <c r="E61" s="4073"/>
      <c r="F61" s="4594" t="s">
        <v>3749</v>
      </c>
      <c r="G61" s="4595"/>
      <c r="H61" s="4595"/>
      <c r="I61" s="4596"/>
      <c r="J61" s="4054">
        <f>J59+1</f>
        <v>7</v>
      </c>
      <c r="K61" s="4662" t="s">
        <v>1356</v>
      </c>
      <c r="L61" s="4662"/>
      <c r="M61" s="2065"/>
      <c r="N61" s="2920">
        <f ca="1">ROUND(N59*10000/'数据-汇总表'!E3,0)</f>
        <v>12549</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2">
        <f ca="1">ROUND(C64+C65,0)</f>
        <v>50360</v>
      </c>
      <c r="D63" s="4068"/>
      <c r="E63" s="4601" t="s">
        <v>3753</v>
      </c>
      <c r="F63" s="4043">
        <v>1</v>
      </c>
      <c r="G63" s="3099" t="s">
        <v>3740</v>
      </c>
      <c r="H63" s="4206">
        <f ca="1">H64-H66</f>
        <v>4158</v>
      </c>
      <c r="I63" s="4090"/>
      <c r="J63" s="4691" t="s">
        <v>1360</v>
      </c>
      <c r="K63" s="980" t="s">
        <v>1361</v>
      </c>
      <c r="L63" s="4229">
        <f ca="1">IF(M49&gt;10000,M49*0.5%,IF(AND(M49&gt;1000,M49&lt;=10000),M49*1%,IF(AND(M49&gt;100,M49&lt;=1000),M49*3%,IF(AND(M49&gt;10,M49&lt;=100),M49*5%,M49*8%))))</f>
        <v>251.8</v>
      </c>
      <c r="M63" s="4173">
        <f ca="1">ROUND(L63,1)</f>
        <v>251.8</v>
      </c>
      <c r="N63" s="2067"/>
      <c r="Z63" s="1380"/>
      <c r="AI63" s="1381"/>
    </row>
    <row r="64" spans="1:35" ht="14.25" customHeight="1">
      <c r="A64" s="71" t="s">
        <v>323</v>
      </c>
      <c r="B64" s="4077" t="s">
        <v>3757</v>
      </c>
      <c r="C64" s="4203">
        <f ca="1">D45</f>
        <v>50360</v>
      </c>
      <c r="D64" s="4069"/>
      <c r="E64" s="4602"/>
      <c r="F64" s="4043">
        <v>2</v>
      </c>
      <c r="G64" s="3099" t="s">
        <v>3741</v>
      </c>
      <c r="H64" s="4206">
        <f ca="1">ROUND(H65*I64/(1+I64),0)</f>
        <v>4158</v>
      </c>
      <c r="I64" s="4091">
        <v>0.09</v>
      </c>
      <c r="J64" s="4691"/>
      <c r="K64" s="980" t="s">
        <v>1362</v>
      </c>
      <c r="L64" s="4229">
        <f ca="1">IF(M49&gt;2000,M49*0.5%,IF(AND(M49&gt;1000,M49&lt;=2000),M49*0.6%,IF(AND(M49&gt;500,M49&lt;=1000),M49*0.7%,IF(AND(M49&gt;200,M49&lt;=500),M49*0.8%,IF(AND(M49&gt;100,M49&lt;=200),M49*0.9%,IF(AND(M49&gt;50,M49&lt;=100),M49*1%,IF(AND(M49&gt;20,M49&lt;=50),M49*1.5%,IF(AND(M49&gt;10,M49&lt;=20),M49*2%,IF(AND(M49&gt;1,M49&lt;=10),M49*2.5%)))))))))</f>
        <v>251.8</v>
      </c>
      <c r="M64" s="4173">
        <f t="shared" ref="M64:M65" ca="1" si="1">ROUND(L64,1)</f>
        <v>251.8</v>
      </c>
      <c r="N64" s="2068" t="s">
        <v>1363</v>
      </c>
      <c r="Z64" s="1380"/>
      <c r="AI64" s="1381"/>
    </row>
    <row r="65" spans="1:35" ht="14.25" customHeight="1">
      <c r="A65" s="71" t="s">
        <v>324</v>
      </c>
      <c r="B65" s="4077" t="s">
        <v>3758</v>
      </c>
      <c r="C65" s="4204"/>
      <c r="D65" s="4070"/>
      <c r="E65" s="4602"/>
      <c r="F65" s="71" t="s">
        <v>323</v>
      </c>
      <c r="G65" s="4092" t="s">
        <v>3744</v>
      </c>
      <c r="H65" s="4206">
        <f ca="1">D45</f>
        <v>50360</v>
      </c>
      <c r="I65" s="4090"/>
      <c r="J65" s="4691"/>
      <c r="K65" s="980" t="s">
        <v>1364</v>
      </c>
      <c r="L65" s="4229">
        <f ca="1">IF(M49&gt;1000,M49*0.1%,IF(AND(M49&gt;500,M49&lt;=1000),M49*0.5%,IF(AND(M49&gt;50,M49&lt;=500),M49*1%,IF(AND(M49&gt;1,M49&lt;=50),M49*1.5%))))</f>
        <v>50.36</v>
      </c>
      <c r="M65" s="4173">
        <f t="shared" ca="1" si="1"/>
        <v>50.4</v>
      </c>
      <c r="N65" s="2068" t="s">
        <v>1363</v>
      </c>
      <c r="Z65" s="1380"/>
      <c r="AI65" s="1381"/>
    </row>
    <row r="66" spans="1:35" ht="14.25" customHeight="1">
      <c r="A66" s="75" t="s">
        <v>325</v>
      </c>
      <c r="B66" s="4078" t="s">
        <v>3759</v>
      </c>
      <c r="C66" s="4204"/>
      <c r="D66" s="4071"/>
      <c r="E66" s="4602"/>
      <c r="F66" s="4093">
        <v>3</v>
      </c>
      <c r="G66" s="3099" t="s">
        <v>3742</v>
      </c>
      <c r="H66" s="4173">
        <f>ROUND(H67*I67,0)+ROUND(H68*I68,0)</f>
        <v>0</v>
      </c>
      <c r="I66" s="4090"/>
      <c r="J66" s="4691"/>
      <c r="K66" s="980" t="s">
        <v>1365</v>
      </c>
      <c r="L66" s="4229">
        <f ca="1">M49*0.5%</f>
        <v>251.8</v>
      </c>
      <c r="M66" s="4173">
        <f ca="1">IF(L66&gt;0.5,0.5,ROUND(L66,0))</f>
        <v>0.5</v>
      </c>
      <c r="N66" s="2068" t="s">
        <v>1366</v>
      </c>
      <c r="Z66" s="1380"/>
      <c r="AI66" s="1381"/>
    </row>
    <row r="67" spans="1:35" ht="14.25" customHeight="1">
      <c r="A67" s="75" t="s">
        <v>326</v>
      </c>
      <c r="B67" s="4075" t="s">
        <v>3755</v>
      </c>
      <c r="C67" s="4203">
        <f ca="1">C63-C66</f>
        <v>50360</v>
      </c>
      <c r="D67" s="4070"/>
      <c r="E67" s="4602"/>
      <c r="F67" s="71" t="s">
        <v>323</v>
      </c>
      <c r="G67" s="4092" t="s">
        <v>3746</v>
      </c>
      <c r="H67" s="4207"/>
      <c r="I67" s="4091">
        <v>0.09</v>
      </c>
      <c r="J67" s="4691"/>
      <c r="K67" s="980" t="s">
        <v>1367</v>
      </c>
      <c r="L67" s="4229">
        <f ca="1">IF(M49&gt;=10000,(8.25+(M49-10000)*0.01%),IF(AND(M49&gt;=8000,M49&lt;10000),(7.85+(M49-8000)*0.02%),IF(AND(M49&gt;=5000,M49&lt;8000),(6.65+(M49-5000)*0.04%),IF(AND(M49&gt;=2000,M49&lt;5000),(4.25+(PM49-2000)*0.08%),IF(AND(M49&gt;=1000,M49&lt;2000),(2.75+(M49-1000)*0.15%),IF(AND(M49&gt;=100,M49&lt;1000),(0.5+(M49-100)*0.25%),IF(AND(M49&gt;0,M49&lt;100),M49*0.5%)))))))</f>
        <v>12.286000000000001</v>
      </c>
      <c r="M67" s="4173">
        <f ca="1">ROUND(L67*0.9,1)</f>
        <v>11.1</v>
      </c>
      <c r="N67" s="2067"/>
      <c r="Z67" s="1380"/>
      <c r="AI67" s="1381"/>
    </row>
    <row r="68" spans="1:35" ht="14.25" customHeight="1" thickBot="1">
      <c r="A68" s="77" t="s">
        <v>327</v>
      </c>
      <c r="B68" s="4079" t="s">
        <v>3760</v>
      </c>
      <c r="C68" s="4205">
        <f ca="1">IF(C67&lt;=0,0,ROUND(C67*D68,0))</f>
        <v>2518</v>
      </c>
      <c r="D68" s="4072">
        <v>0.05</v>
      </c>
      <c r="E68" s="4603"/>
      <c r="F68" s="4085" t="s">
        <v>324</v>
      </c>
      <c r="G68" s="4094" t="s">
        <v>3747</v>
      </c>
      <c r="H68" s="4208"/>
      <c r="I68" s="4095">
        <v>0.06</v>
      </c>
      <c r="J68" s="4691"/>
      <c r="K68" s="980" t="s">
        <v>1368</v>
      </c>
      <c r="L68" s="4229">
        <f ca="1">IF(M49&gt;10000,M49*0.5%,IF(AND(M49&gt;5000,M49&lt;=10000),M49*1%,IF(AND(M49&gt;1000,M49&lt;=5000),M49*2%,IF(AND(M49&gt;200,M49&lt;=1000),M49*3%,M49*5%))))</f>
        <v>251.8</v>
      </c>
      <c r="M68" s="4173">
        <f ca="1">ROUND(L68,1)</f>
        <v>251.8</v>
      </c>
      <c r="N68" s="2067"/>
      <c r="Z68" s="1380"/>
      <c r="AI68" s="1381"/>
    </row>
    <row r="69" spans="1:35" s="1394" customFormat="1" ht="16.5" customHeight="1">
      <c r="A69" s="1433"/>
      <c r="B69" s="1434"/>
      <c r="C69" s="1435"/>
      <c r="D69" s="1436"/>
      <c r="E69" s="1437"/>
      <c r="F69" s="1222"/>
      <c r="G69" s="1222"/>
      <c r="H69" s="1221"/>
      <c r="I69" s="1375"/>
      <c r="J69" s="4692"/>
      <c r="K69" s="980" t="s">
        <v>1369</v>
      </c>
      <c r="L69" s="4229"/>
      <c r="M69" s="4173">
        <f ca="1">ROUND(SUM(M63:M68),0)</f>
        <v>817</v>
      </c>
      <c r="N69" s="2069">
        <f ca="1">M69/M49</f>
        <v>1.6223193010325654E-2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44" t="s">
        <v>1370</v>
      </c>
      <c r="B70" s="4645"/>
      <c r="C70" s="4645"/>
      <c r="D70" s="4645"/>
      <c r="E70" s="4645"/>
      <c r="F70" s="4645"/>
      <c r="G70" s="4645"/>
      <c r="H70" s="4645"/>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35" t="s">
        <v>1357</v>
      </c>
      <c r="B71" s="4636"/>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09">
        <f ca="1">ROUND(D45/(1+D72),0)</f>
        <v>46202</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09">
        <f ca="1">C74+C78</f>
        <v>4620</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3">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4"/>
      <c r="D75" s="4056" t="s">
        <v>24</v>
      </c>
      <c r="E75" s="84" t="s">
        <v>1375</v>
      </c>
      <c r="F75" s="2082"/>
      <c r="G75" s="84" t="s">
        <v>1376</v>
      </c>
      <c r="H75" s="4211"/>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3">
        <f>IF(F75="购房发票",ROUND(C75*H75*D76,0),0)</f>
        <v>0</v>
      </c>
      <c r="D76" s="4059">
        <v>0.05</v>
      </c>
      <c r="E76" s="4618" t="s">
        <v>1378</v>
      </c>
      <c r="F76" s="4606"/>
      <c r="G76" s="4606"/>
      <c r="H76" s="4643"/>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3">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3">
        <f ca="1">ROUND(C72*D78,0)</f>
        <v>4620</v>
      </c>
      <c r="D78" s="4061">
        <f>'数据-取费表'!B44</f>
        <v>0.1</v>
      </c>
      <c r="E78" s="4616" t="s">
        <v>1382</v>
      </c>
      <c r="F78" s="4587"/>
      <c r="G78" s="4587"/>
      <c r="H78" s="4588"/>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09">
        <f ca="1">C72-C73</f>
        <v>41582</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485">
        <f ca="1">IF(C79&lt;=0,0,C79/C73)</f>
        <v>9.0004329004328998</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0">
        <f ca="1">ROUND(IF(C79&lt;=0,0,IF(C80&gt;=200%,C79*60%-C73*35%,IF(C80&gt;=100%,C79*50%-C73*15%,IF(C80&gt;=50%,C79*40%-C73*5%,IF(C80&lt;50%,C79*30%,0))))),0)</f>
        <v>23332</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44" t="s">
        <v>1386</v>
      </c>
      <c r="B83" s="4645"/>
      <c r="C83" s="4645"/>
      <c r="D83" s="4645"/>
      <c r="E83" s="4645"/>
      <c r="F83" s="4645"/>
      <c r="G83" s="4645"/>
      <c r="H83" s="4645"/>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35" t="s">
        <v>1357</v>
      </c>
      <c r="B84" s="4636"/>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09">
        <f ca="1">ROUND(D45/(1+D85),0)</f>
        <v>46202</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09">
        <f ca="1">IF(H88="仅含出让金",C87+C90+C91+C92+C93+C94,C87+C91+C92+C93+C94)</f>
        <v>4620</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3">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4"/>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3">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4"/>
      <c r="D90" s="4061"/>
      <c r="E90" s="93" t="str">
        <f>IF(H88="-","土地取得成本中已包含该笔费用"," ")</f>
        <v xml:space="preserve"> </v>
      </c>
      <c r="F90" s="1869"/>
      <c r="G90" s="4694" t="s">
        <v>2044</v>
      </c>
      <c r="H90" s="4695"/>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3">
        <f>IF(H91="——",成本法!C9,I91)</f>
        <v>0</v>
      </c>
      <c r="D91" s="4061"/>
      <c r="E91" s="4616" t="s">
        <v>1395</v>
      </c>
      <c r="F91" s="4587"/>
      <c r="G91" s="4587"/>
      <c r="H91" s="4048" t="s">
        <v>3734</v>
      </c>
      <c r="I91" s="4212"/>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3">
        <f>ROUND((C87+C90+C91)*D92,0)</f>
        <v>0</v>
      </c>
      <c r="D92" s="4064"/>
      <c r="E92" s="4616" t="s">
        <v>1398</v>
      </c>
      <c r="F92" s="4587"/>
      <c r="G92" s="4587"/>
      <c r="H92" s="4588"/>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3">
        <f ca="1">ROUND(C85*D93,0)</f>
        <v>4620</v>
      </c>
      <c r="D93" s="4061">
        <f>'数据-取费表'!B44</f>
        <v>0.1</v>
      </c>
      <c r="E93" s="4586" t="s">
        <v>3737</v>
      </c>
      <c r="F93" s="4587"/>
      <c r="G93" s="4587"/>
      <c r="H93" s="4588"/>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4">
        <f>ROUND((C87+C90+C91)*D94,0)</f>
        <v>0</v>
      </c>
      <c r="D94" s="4061">
        <v>0.2</v>
      </c>
      <c r="E94" s="4589" t="s">
        <v>1402</v>
      </c>
      <c r="F94" s="4590"/>
      <c r="G94" s="4590"/>
      <c r="H94" s="4591"/>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09">
        <f ca="1">ROUND(C85-C86,0)</f>
        <v>41582</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09">
        <f ca="1">IF(C95&lt;=0,0,C95/C86)</f>
        <v>9.0004329004328998</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0">
        <f ca="1">ROUND(IF(C95&lt;=0,0,IF(C96&gt;=200%,C95*60%-C86*35%,IF(C96&gt;=100%,C95*50%-C86*15%,IF(C96&gt;=50%,C95*40%-C86*5%,IF(C96&lt;50%,C95*30%,0))))),0)</f>
        <v>23332</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75" t="s">
        <v>1404</v>
      </c>
      <c r="B100" s="4576"/>
      <c r="C100" s="4576"/>
      <c r="D100" s="4663"/>
      <c r="E100" s="4576" t="s">
        <v>1405</v>
      </c>
      <c r="F100" s="4576"/>
      <c r="G100" s="4576"/>
      <c r="H100" s="4663"/>
      <c r="I100" s="51"/>
    </row>
    <row r="101" spans="1:35" ht="18.75" customHeight="1">
      <c r="A101" s="4671" t="s">
        <v>1406</v>
      </c>
      <c r="B101" s="4672"/>
      <c r="C101" s="2084" t="str">
        <f>C4</f>
        <v>成本法</v>
      </c>
      <c r="D101" s="2085" t="str">
        <f>D4</f>
        <v>收益法</v>
      </c>
      <c r="E101" s="4688" t="s">
        <v>1407</v>
      </c>
      <c r="F101" s="4634"/>
      <c r="G101" s="1447" t="s">
        <v>1408</v>
      </c>
      <c r="H101" s="4221">
        <f ca="1">H118</f>
        <v>50360</v>
      </c>
      <c r="I101" s="51"/>
    </row>
    <row r="102" spans="1:35" ht="18.75" customHeight="1">
      <c r="A102" s="4638" t="s">
        <v>1409</v>
      </c>
      <c r="B102" s="2083" t="s">
        <v>1408</v>
      </c>
      <c r="C102" s="4213">
        <f ca="1">C19</f>
        <v>63765</v>
      </c>
      <c r="D102" s="4214">
        <f ca="1">D19</f>
        <v>36954</v>
      </c>
      <c r="E102" s="4688"/>
      <c r="F102" s="4634"/>
      <c r="G102" s="1447" t="s">
        <v>1410</v>
      </c>
      <c r="H102" s="4222">
        <f ca="1">I118</f>
        <v>12683</v>
      </c>
      <c r="I102" s="51"/>
    </row>
    <row r="103" spans="1:35" ht="42.75" customHeight="1">
      <c r="A103" s="4638"/>
      <c r="B103" s="2083" t="s">
        <v>1410</v>
      </c>
      <c r="C103" s="4215">
        <f ca="1">C20</f>
        <v>16173</v>
      </c>
      <c r="D103" s="4216">
        <f ca="1">D20</f>
        <v>9373</v>
      </c>
      <c r="E103" s="4682" t="s">
        <v>1411</v>
      </c>
      <c r="F103" s="4683"/>
      <c r="G103" s="1448" t="s">
        <v>1412</v>
      </c>
      <c r="H103" s="4221">
        <f>IF(D36="正常操作",H104+H105+H106,H105+H106)</f>
        <v>0</v>
      </c>
      <c r="I103" s="51"/>
    </row>
    <row r="104" spans="1:35" ht="18.75" customHeight="1">
      <c r="A104" s="4638" t="s">
        <v>1413</v>
      </c>
      <c r="B104" s="2086" t="s">
        <v>1408</v>
      </c>
      <c r="C104" s="4217">
        <f ca="1">H118</f>
        <v>50360</v>
      </c>
      <c r="D104" s="4218"/>
      <c r="E104" s="1307" t="s">
        <v>1414</v>
      </c>
      <c r="F104" s="1303"/>
      <c r="G104" s="1448" t="s">
        <v>1412</v>
      </c>
      <c r="H104" s="4223">
        <f>IF(D36="同一抵押权人同一抵押物续贷",C36&amp;"（续贷，未扣减，详见特别提示）",C36)</f>
        <v>0</v>
      </c>
      <c r="I104" s="51"/>
    </row>
    <row r="105" spans="1:35" ht="18.75" customHeight="1" thickBot="1">
      <c r="A105" s="4639"/>
      <c r="B105" s="2087" t="s">
        <v>1410</v>
      </c>
      <c r="C105" s="4219">
        <f ca="1">I118</f>
        <v>12683</v>
      </c>
      <c r="D105" s="4220"/>
      <c r="E105" s="1307" t="s">
        <v>1415</v>
      </c>
      <c r="F105" s="1303"/>
      <c r="G105" s="1448" t="s">
        <v>1412</v>
      </c>
      <c r="H105" s="4224">
        <f>C37</f>
        <v>0</v>
      </c>
      <c r="I105" s="51"/>
    </row>
    <row r="106" spans="1:35" ht="18.75" customHeight="1">
      <c r="A106" s="1375" t="s">
        <v>1416</v>
      </c>
      <c r="B106" s="1375"/>
      <c r="C106" s="1375"/>
      <c r="D106" s="1375"/>
      <c r="E106" s="1449" t="s">
        <v>1417</v>
      </c>
      <c r="F106" s="1303"/>
      <c r="G106" s="1448" t="s">
        <v>1412</v>
      </c>
      <c r="H106" s="4224">
        <f>C38</f>
        <v>0</v>
      </c>
      <c r="I106" s="51"/>
    </row>
    <row r="107" spans="1:35" ht="18.75" customHeight="1">
      <c r="A107" s="51"/>
      <c r="B107" s="51"/>
      <c r="C107" s="51"/>
      <c r="D107" s="51"/>
      <c r="E107" s="4633" t="str">
        <f>IF(项目基本情况!E8="已注销","——","3.房地产抵押价值")</f>
        <v>3.房地产抵押价值</v>
      </c>
      <c r="F107" s="4634"/>
      <c r="G107" s="1447" t="s">
        <v>1408</v>
      </c>
      <c r="H107" s="4221">
        <f ca="1">IF(E107="——","——",H101-H103)</f>
        <v>50360</v>
      </c>
      <c r="I107" s="51"/>
    </row>
    <row r="108" spans="1:35" ht="18.75" customHeight="1">
      <c r="A108" s="51"/>
      <c r="B108" s="51"/>
      <c r="C108" s="51"/>
      <c r="D108" s="51"/>
      <c r="E108" s="4633"/>
      <c r="F108" s="4634"/>
      <c r="G108" s="1447" t="s">
        <v>1410</v>
      </c>
      <c r="H108" s="4222">
        <f ca="1">IF(H107=H101,H102,ROUND(H107*10000/'数据-汇总表'!E3,0))</f>
        <v>12683</v>
      </c>
      <c r="I108" s="51"/>
    </row>
    <row r="109" spans="1:35" ht="18.75" customHeight="1">
      <c r="A109" s="51"/>
      <c r="B109" s="51"/>
      <c r="C109" s="51"/>
      <c r="D109" s="51"/>
      <c r="E109" s="4633" t="str">
        <f>IF(项目基本情况!E8="已注销及未注销","4.抵押担保权已注销时的房地产抵押价值",IF(项目基本情况!E8="已注销","3.抵押担保权已注销时的房地产抵押价值","——"))</f>
        <v>——</v>
      </c>
      <c r="F109" s="4634"/>
      <c r="G109" s="1447" t="s">
        <v>1408</v>
      </c>
      <c r="H109" s="4225" t="str">
        <f>IF(E109="——","——",H101-H105-H106)</f>
        <v>——</v>
      </c>
      <c r="I109" s="51"/>
    </row>
    <row r="110" spans="1:35" ht="18.75" customHeight="1">
      <c r="A110" s="51"/>
      <c r="B110" s="51"/>
      <c r="C110" s="51"/>
      <c r="D110" s="51"/>
      <c r="E110" s="4633"/>
      <c r="F110" s="4634"/>
      <c r="G110" s="1447" t="s">
        <v>1410</v>
      </c>
      <c r="H110" s="4222" t="str">
        <f>IF(H109="——","——",ROUND(H109*10000/'数据-汇总表'!E3,0))</f>
        <v>——</v>
      </c>
      <c r="I110" s="51"/>
    </row>
    <row r="111" spans="1:35" ht="18.75" customHeight="1">
      <c r="A111" s="51"/>
      <c r="B111" s="51"/>
      <c r="C111" s="51"/>
      <c r="D111" s="51"/>
      <c r="E111" s="4673" t="str">
        <f>IF(项目基本情况!E9="抵押净值",IF(OR(项目基本情况!E8="已注销",项目基本情况!E8="房地产抵押价值"),"4.抵押净值","5.抵押净值"),"——")</f>
        <v>——</v>
      </c>
      <c r="F111" s="4637"/>
      <c r="G111" s="1447" t="s">
        <v>1408</v>
      </c>
      <c r="H111" s="4221" t="str">
        <f>IF(E111="——","——",N59)</f>
        <v>——</v>
      </c>
      <c r="I111" s="51"/>
    </row>
    <row r="112" spans="1:35" ht="18.75" customHeight="1" thickBot="1">
      <c r="A112" s="51"/>
      <c r="B112" s="51"/>
      <c r="C112" s="51"/>
      <c r="D112" s="51"/>
      <c r="E112" s="4674"/>
      <c r="F112" s="4675"/>
      <c r="G112" s="1450" t="s">
        <v>1410</v>
      </c>
      <c r="H112" s="4168" t="str">
        <f>IF(E111="——","——",N61)</f>
        <v>——</v>
      </c>
      <c r="I112" s="51"/>
    </row>
    <row r="113" spans="1:27" ht="18.75" customHeight="1">
      <c r="A113" s="51"/>
      <c r="B113" s="51"/>
      <c r="C113" s="51"/>
      <c r="D113" s="51"/>
      <c r="E113" s="4640" t="s">
        <v>1416</v>
      </c>
      <c r="F113" s="4640"/>
      <c r="G113" s="4640"/>
      <c r="H113" s="4640"/>
      <c r="I113" s="51"/>
    </row>
    <row r="114" spans="1:27" ht="3.75" customHeight="1">
      <c r="A114" s="1375"/>
      <c r="B114" s="1375"/>
      <c r="C114" s="1375"/>
      <c r="D114" s="1375"/>
      <c r="E114" s="1431"/>
      <c r="F114" s="1431"/>
      <c r="G114" s="1431"/>
      <c r="H114" s="1431"/>
      <c r="I114" s="1375"/>
    </row>
    <row r="115" spans="1:27" ht="18.75" customHeight="1">
      <c r="A115" s="4653" t="s">
        <v>1418</v>
      </c>
      <c r="B115" s="4654"/>
      <c r="C115" s="4654"/>
      <c r="D115" s="4654"/>
      <c r="E115" s="4654"/>
      <c r="F115" s="4654"/>
      <c r="G115" s="4654"/>
      <c r="H115" s="4654"/>
      <c r="I115" s="4655"/>
    </row>
    <row r="116" spans="1:27" ht="27" customHeight="1">
      <c r="A116" s="4617" t="s">
        <v>1419</v>
      </c>
      <c r="B116" s="4641" t="s">
        <v>1420</v>
      </c>
      <c r="C116" s="4641" t="s">
        <v>1421</v>
      </c>
      <c r="D116" s="4657" t="s">
        <v>1422</v>
      </c>
      <c r="E116" s="4658"/>
      <c r="F116" s="4649"/>
      <c r="G116" s="4649"/>
      <c r="H116" s="4617" t="s">
        <v>1423</v>
      </c>
      <c r="I116" s="4617"/>
      <c r="K116" s="3463"/>
      <c r="L116" s="3464" t="s">
        <v>3526</v>
      </c>
      <c r="M116" s="3464" t="s">
        <v>3527</v>
      </c>
      <c r="N116" s="3464" t="s">
        <v>3528</v>
      </c>
    </row>
    <row r="117" spans="1:27" ht="18.75" customHeight="1">
      <c r="A117" s="4617"/>
      <c r="B117" s="4642"/>
      <c r="C117" s="4642"/>
      <c r="D117" s="1871" t="s">
        <v>1424</v>
      </c>
      <c r="E117" s="1871" t="s">
        <v>1425</v>
      </c>
      <c r="F117" s="1871" t="s">
        <v>1424</v>
      </c>
      <c r="G117" s="1871" t="s">
        <v>1426</v>
      </c>
      <c r="H117" s="1871" t="s">
        <v>1424</v>
      </c>
      <c r="I117" s="1871" t="s">
        <v>1426</v>
      </c>
      <c r="K117" s="3464" t="s">
        <v>3524</v>
      </c>
      <c r="L117" s="4226">
        <f ca="1">C34</f>
        <v>30115</v>
      </c>
      <c r="M117" s="4227">
        <f ca="1">C35</f>
        <v>20245</v>
      </c>
      <c r="N117" s="4227">
        <f ca="1">C32</f>
        <v>50360</v>
      </c>
    </row>
    <row r="118" spans="1:27" ht="24.75" customHeight="1">
      <c r="A118" s="2088" t="str">
        <f>项目基本情况!S2</f>
        <v>北京市房地产</v>
      </c>
      <c r="B118" s="2927">
        <f>M18</f>
        <v>39707.96</v>
      </c>
      <c r="C118" s="2927">
        <f>M19</f>
        <v>6294.36</v>
      </c>
      <c r="D118" s="4487">
        <f ca="1">ROUND(IF(D32="总价",L117,L119*B118/10000),0)</f>
        <v>30115</v>
      </c>
      <c r="E118" s="4487">
        <f ca="1">ROUND(IF(C33="自定义",IF(D32="楼面单价",L119,D118*10000/B118),I118-G118),0)</f>
        <v>7585</v>
      </c>
      <c r="F118" s="4487">
        <f ca="1">ROUND(IF(D32="总价",M117,M119*B118/10000),0)</f>
        <v>20245</v>
      </c>
      <c r="G118" s="4487">
        <f ca="1">ROUND(IF(D32="楼面单价",,F118*10000/B118),0)</f>
        <v>5098</v>
      </c>
      <c r="H118" s="4487">
        <f ca="1">ROUND(IF(D32="总价",C32,N119*B118/10000),4)</f>
        <v>50360</v>
      </c>
      <c r="I118" s="4487">
        <f ca="1">ROUND(IF(D32="楼面单价",C32,N117*10000/B118),0)</f>
        <v>12683</v>
      </c>
      <c r="K118" s="3463"/>
      <c r="L118" s="4228"/>
      <c r="M118" s="4228"/>
      <c r="N118" s="4228"/>
    </row>
    <row r="119" spans="1:27" ht="18.75" customHeight="1">
      <c r="A119" s="4617" t="s">
        <v>1427</v>
      </c>
      <c r="B119" s="4617"/>
      <c r="C119" s="4617"/>
      <c r="D119" s="4659" t="str">
        <f ca="1">NUMBERSTRING(INT(D118*10000),2)&amp;"元整"</f>
        <v>叁亿零壹佰壹拾伍万元整</v>
      </c>
      <c r="E119" s="4660"/>
      <c r="F119" s="4659" t="str">
        <f ca="1">NUMBERSTRING(INT(F118*10000),2)&amp;"元整"</f>
        <v>贰亿零贰佰肆拾伍万元整</v>
      </c>
      <c r="G119" s="4660"/>
      <c r="H119" s="4659" t="str">
        <f ca="1">NUMBERSTRING(INT(H118*10000),2)&amp;"元整"</f>
        <v>伍亿零叁佰陆拾万元整</v>
      </c>
      <c r="I119" s="4660"/>
      <c r="K119" s="3464" t="s">
        <v>3525</v>
      </c>
      <c r="L119" s="4227">
        <f ca="1">C34</f>
        <v>30115</v>
      </c>
      <c r="M119" s="4227">
        <f ca="1">C35</f>
        <v>20245</v>
      </c>
      <c r="N119" s="4227">
        <f ca="1">C32</f>
        <v>50360</v>
      </c>
    </row>
    <row r="120" spans="1:27" ht="18.75" customHeight="1">
      <c r="A120" s="4679" t="str">
        <f>IF(项目基本情况!B9="房地产市场价值","",MID(E103,3,LEN(E103)-2))</f>
        <v>估价师知悉的法定优先受偿款</v>
      </c>
      <c r="B120" s="4680"/>
      <c r="C120" s="4681"/>
      <c r="D120" s="4676">
        <f>H103</f>
        <v>0</v>
      </c>
      <c r="E120" s="4677"/>
      <c r="F120" s="4677"/>
      <c r="G120" s="4677"/>
      <c r="H120" s="4677"/>
      <c r="I120" s="4678"/>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50" t="s">
        <v>1427</v>
      </c>
      <c r="B121" s="4651"/>
      <c r="C121" s="4652"/>
      <c r="D121" s="4646" t="str">
        <f>IF(D120=0,"零元整",NUMBERSTRING(INT(D120*10000),2)&amp;"元整")</f>
        <v>零元整</v>
      </c>
      <c r="E121" s="4647"/>
      <c r="F121" s="4647"/>
      <c r="G121" s="4647"/>
      <c r="H121" s="4647"/>
      <c r="I121" s="4648"/>
      <c r="AA121" s="529"/>
    </row>
    <row r="122" spans="1:27" ht="18.75" customHeight="1">
      <c r="A122" s="4637" t="str">
        <f>IF(项目基本情况!B9="房地产市场价值","",MID(E107,3,LEN(E107)-2))</f>
        <v>房地产抵押价值</v>
      </c>
      <c r="B122" s="4637"/>
      <c r="C122" s="4637"/>
      <c r="D122" s="4676">
        <f ca="1">H107</f>
        <v>50360</v>
      </c>
      <c r="E122" s="4677"/>
      <c r="F122" s="4677"/>
      <c r="G122" s="4677"/>
      <c r="H122" s="4677"/>
      <c r="I122" s="4678"/>
      <c r="AA122" s="529"/>
    </row>
    <row r="123" spans="1:27" ht="18.75" customHeight="1">
      <c r="A123" s="4617" t="s">
        <v>1427</v>
      </c>
      <c r="B123" s="4617"/>
      <c r="C123" s="4617"/>
      <c r="D123" s="4646" t="str">
        <f ca="1">NUMBERSTRING(INT(D122*10000),2)&amp;"元整"</f>
        <v>伍亿零叁佰陆拾万元整</v>
      </c>
      <c r="E123" s="4647"/>
      <c r="F123" s="4647"/>
      <c r="G123" s="4647"/>
      <c r="H123" s="4647"/>
      <c r="I123" s="4648"/>
      <c r="AA123" s="529"/>
    </row>
    <row r="124" spans="1:27" ht="18.75" customHeight="1">
      <c r="A124" s="4637" t="str">
        <f>IF(项目基本情况!B9="房地产市场价值","",MID(E109,3,LEN(E109)-2))</f>
        <v/>
      </c>
      <c r="B124" s="4637"/>
      <c r="C124" s="4637"/>
      <c r="D124" s="4676" t="str">
        <f>H109</f>
        <v>——</v>
      </c>
      <c r="E124" s="4677"/>
      <c r="F124" s="4677"/>
      <c r="G124" s="4677"/>
      <c r="H124" s="4677"/>
      <c r="I124" s="4678"/>
      <c r="AA124" s="529"/>
    </row>
    <row r="125" spans="1:27" ht="18.75" customHeight="1">
      <c r="A125" s="4617" t="s">
        <v>1427</v>
      </c>
      <c r="B125" s="4617"/>
      <c r="C125" s="4617"/>
      <c r="D125" s="4646" t="e">
        <f>NUMBERSTRING(INT(D124*10000),2)&amp;"元整"</f>
        <v>#VALUE!</v>
      </c>
      <c r="E125" s="4647"/>
      <c r="F125" s="4647"/>
      <c r="G125" s="4647"/>
      <c r="H125" s="4647"/>
      <c r="I125" s="4648"/>
      <c r="AA125" s="529"/>
    </row>
    <row r="126" spans="1:27" ht="18.75" customHeight="1">
      <c r="A126" s="4637" t="str">
        <f>IF(项目基本情况!B9="房地产市场价值","",MID(E111,3,LEN(E111)-2))</f>
        <v/>
      </c>
      <c r="B126" s="4637"/>
      <c r="C126" s="4637"/>
      <c r="D126" s="4676" t="str">
        <f>H111</f>
        <v>——</v>
      </c>
      <c r="E126" s="4677"/>
      <c r="F126" s="4677"/>
      <c r="G126" s="4677"/>
      <c r="H126" s="4677"/>
      <c r="I126" s="4678"/>
      <c r="AA126" s="529"/>
    </row>
    <row r="127" spans="1:27" ht="18.75" customHeight="1">
      <c r="A127" s="4617" t="s">
        <v>1427</v>
      </c>
      <c r="B127" s="4617"/>
      <c r="C127" s="4617"/>
      <c r="D127" s="4646" t="e">
        <f>NUMBERSTRING(INT(D126*10000),2)&amp;"元整"</f>
        <v>#VALUE!</v>
      </c>
      <c r="E127" s="4647"/>
      <c r="F127" s="4647"/>
      <c r="G127" s="4647"/>
      <c r="H127" s="4647"/>
      <c r="I127" s="4648"/>
      <c r="AA127" s="529"/>
    </row>
    <row r="128" spans="1:27" ht="21.75" customHeight="1">
      <c r="A128" s="4656" t="s">
        <v>1428</v>
      </c>
      <c r="B128" s="4656"/>
      <c r="C128" s="4656"/>
      <c r="D128" s="4656"/>
      <c r="E128" s="4656"/>
      <c r="F128" s="4656"/>
      <c r="G128" s="4656"/>
      <c r="H128" s="4656"/>
      <c r="I128" s="4656"/>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42" sqref="C42"/>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3892</v>
      </c>
      <c r="D1" s="98"/>
      <c r="E1" s="98"/>
      <c r="F1" s="98"/>
      <c r="G1" s="830">
        <f>MATCH(B1,'数据-取费表'!A6:A16,0)+5</f>
        <v>6</v>
      </c>
    </row>
    <row r="2" spans="1:9" s="100" customFormat="1" ht="15.75">
      <c r="A2" s="101" t="s">
        <v>1437</v>
      </c>
      <c r="B2" s="2849">
        <f ca="1">IF(C1="含税",E2+C33,E2+C32)</f>
        <v>63765</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16173</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62653</v>
      </c>
      <c r="D5" s="2874"/>
      <c r="E5" s="2874"/>
      <c r="F5" s="2874"/>
      <c r="G5" s="3047" t="s">
        <v>3513</v>
      </c>
    </row>
    <row r="6" spans="1:9" s="2860" customFormat="1" ht="15">
      <c r="A6" s="2838" t="s">
        <v>3358</v>
      </c>
      <c r="B6" s="2900" t="s">
        <v>3359</v>
      </c>
      <c r="C6" s="2875">
        <f>C7+C8</f>
        <v>26822</v>
      </c>
      <c r="D6" s="2837"/>
      <c r="E6" s="2837"/>
      <c r="F6" s="2837"/>
      <c r="G6" s="2876"/>
    </row>
    <row r="7" spans="1:9" s="114" customFormat="1">
      <c r="A7" s="2877" t="s">
        <v>1447</v>
      </c>
      <c r="B7" s="2901" t="s">
        <v>1448</v>
      </c>
      <c r="C7" s="3432">
        <f>'土地比较法-住宅、综合'!B2</f>
        <v>26028</v>
      </c>
      <c r="D7" s="2878"/>
      <c r="E7" s="2879"/>
      <c r="F7" s="2879"/>
      <c r="G7" s="161"/>
    </row>
    <row r="8" spans="1:9" s="114" customFormat="1">
      <c r="A8" s="2877" t="s">
        <v>1449</v>
      </c>
      <c r="B8" s="2901" t="s">
        <v>1450</v>
      </c>
      <c r="C8" s="2848">
        <f>ROUND(C7*F8,0)</f>
        <v>794</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4006</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4007</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4008</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1001</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2463+0.0006V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1705</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7658+0.003V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7658</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58500</v>
      </c>
      <c r="D32" s="2842"/>
      <c r="E32" s="2842"/>
      <c r="F32" s="2841"/>
      <c r="G32" s="2844" t="s">
        <v>3352</v>
      </c>
    </row>
    <row r="33" spans="1:7" s="114" customFormat="1" ht="16.5" thickBot="1">
      <c r="A33" s="2913">
        <v>4</v>
      </c>
      <c r="B33" s="2914" t="s">
        <v>3354</v>
      </c>
      <c r="C33" s="2853">
        <f ca="1">ROUND(C32*(1+F33),0)</f>
        <v>63765</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0.59799999999999998</v>
      </c>
    </row>
    <row r="64" spans="1:7" ht="21" customHeight="1">
      <c r="B64" s="217" t="s">
        <v>790</v>
      </c>
      <c r="C64" s="2893">
        <f ca="1">ROUND(C58/C32,3)</f>
        <v>0.40200000000000002</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8" t="str">
        <f>项目基本情况!B1</f>
        <v>北京市房地产抵押价值预评估</v>
      </c>
      <c r="C37" s="4488"/>
      <c r="D37" s="4488"/>
      <c r="E37" s="4488"/>
      <c r="F37" s="4488"/>
      <c r="G37" s="4488"/>
      <c r="H37" s="4488"/>
      <c r="I37" s="4488"/>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0">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96" t="s">
        <v>1536</v>
      </c>
    </row>
    <row r="43" spans="1:7" ht="13.5" customHeight="1">
      <c r="A43" s="570" t="s">
        <v>345</v>
      </c>
      <c r="B43" s="115" t="s">
        <v>1493</v>
      </c>
      <c r="C43" s="138">
        <f ca="1">ROUND(IF('数据-取费表'!B22&lt;=1,C39*F22*'数据-取费表'!B20/2,C39*(POWER((1+F22),'数据-取费表'!B20/2)-1)),0)</f>
        <v>139200</v>
      </c>
      <c r="D43" s="138"/>
      <c r="E43" s="138"/>
      <c r="F43" s="139"/>
      <c r="G43" s="4698"/>
    </row>
    <row r="44" spans="1:7" ht="13.5" customHeight="1">
      <c r="A44" s="570" t="s">
        <v>346</v>
      </c>
      <c r="B44" s="115" t="s">
        <v>1494</v>
      </c>
      <c r="C44" s="138">
        <f ca="1">ROUND(IF('数据-取费表'!B22&lt;=1,C40*F22*'数据-取费表'!B20/2,C40*(POWER((1+F22),'数据-取费表'!B20/2)-1)),4)</f>
        <v>5.9999999999999995E-4</v>
      </c>
      <c r="D44" s="138"/>
      <c r="E44" s="138"/>
      <c r="F44" s="139"/>
      <c r="G44" s="4697"/>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abSelected="1" zoomScaleNormal="100" zoomScaleSheetLayoutView="100" workbookViewId="0">
      <selection activeCell="E28" sqref="E28"/>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36954</v>
      </c>
      <c r="C2" s="1032" t="s">
        <v>792</v>
      </c>
      <c r="D2" s="3797" t="s">
        <v>3892</v>
      </c>
      <c r="E2" s="1033"/>
      <c r="F2" s="1034"/>
      <c r="G2" s="2187"/>
      <c r="H2" s="2176"/>
      <c r="I2" s="2176"/>
      <c r="J2" s="2176"/>
      <c r="K2" s="2177"/>
      <c r="L2" s="2176"/>
      <c r="M2" s="2176"/>
    </row>
    <row r="3" spans="1:37" ht="18" customHeight="1" thickBot="1">
      <c r="A3" s="1035" t="s">
        <v>793</v>
      </c>
      <c r="B3" s="3116">
        <f ca="1">IF(ISERROR(B2*10000/F29),0,ROUND(B2*10000/F29,0))</f>
        <v>9373</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ROUND(C6+C10+C12,0)</f>
        <v>2983</v>
      </c>
      <c r="D5" s="1010" t="s">
        <v>680</v>
      </c>
      <c r="E5" s="781"/>
      <c r="F5" s="782"/>
      <c r="G5" s="1030"/>
      <c r="H5" s="188">
        <v>1</v>
      </c>
      <c r="I5" s="3474" t="s">
        <v>679</v>
      </c>
      <c r="J5" s="3102">
        <f ca="1">J6+J10+J12</f>
        <v>0</v>
      </c>
      <c r="K5" s="1010" t="s">
        <v>680</v>
      </c>
      <c r="L5" s="781"/>
      <c r="M5" s="782"/>
    </row>
    <row r="6" spans="1:37" ht="18" customHeight="1">
      <c r="A6" s="779" t="s">
        <v>392</v>
      </c>
      <c r="B6" s="3066" t="s">
        <v>3429</v>
      </c>
      <c r="C6" s="4479">
        <f ca="1">C7-C9</f>
        <v>2978.83</v>
      </c>
      <c r="D6" s="3067" t="s">
        <v>3433</v>
      </c>
      <c r="E6" s="3065" t="s">
        <v>3427</v>
      </c>
      <c r="F6" s="3440">
        <f ca="1">INDIRECT("'数据-取费表'!u"&amp;$G$1)</f>
        <v>2.2999999999999998</v>
      </c>
      <c r="G6" s="1030"/>
      <c r="H6" s="779" t="s">
        <v>392</v>
      </c>
      <c r="I6" s="3478" t="s">
        <v>681</v>
      </c>
      <c r="J6" s="3103">
        <f ca="1">J7-J9</f>
        <v>0</v>
      </c>
      <c r="K6" s="3067" t="s">
        <v>3433</v>
      </c>
      <c r="L6" s="3065" t="s">
        <v>3427</v>
      </c>
      <c r="M6" s="3895">
        <f ca="1">INDIRECT("'数据-取费表'!z"&amp;$G$1)</f>
        <v>0</v>
      </c>
    </row>
    <row r="7" spans="1:37" ht="18" customHeight="1">
      <c r="A7" s="4699" t="s">
        <v>391</v>
      </c>
      <c r="B7" s="4702" t="s">
        <v>3430</v>
      </c>
      <c r="C7" s="4707">
        <f ca="1">ROUND(F6*F7*F8/10000,2)</f>
        <v>3309.81</v>
      </c>
      <c r="D7" s="4701" t="s">
        <v>3516</v>
      </c>
      <c r="E7" s="3466" t="s">
        <v>684</v>
      </c>
      <c r="F7" s="3440">
        <f ca="1">IF(INDIRECT("'数据-取费表'!ah"&amp;$G$1)="",INDIRECT("'数据-取费表'!k"&amp;$G$1),INDIRECT("'数据-取费表'!ah"&amp;$G$1))</f>
        <v>39425.99</v>
      </c>
      <c r="G7" s="1030"/>
      <c r="H7" s="4699" t="s">
        <v>391</v>
      </c>
      <c r="I7" s="4702" t="s">
        <v>3430</v>
      </c>
      <c r="J7" s="4704">
        <f ca="1">ROUND(M6*M8*M7/10000,0)</f>
        <v>0</v>
      </c>
      <c r="K7" s="4708" t="s">
        <v>3432</v>
      </c>
      <c r="L7" s="191" t="s">
        <v>684</v>
      </c>
      <c r="M7" s="3896">
        <f ca="1">F7</f>
        <v>39425.99</v>
      </c>
    </row>
    <row r="8" spans="1:37" ht="18" customHeight="1">
      <c r="A8" s="4700"/>
      <c r="B8" s="4703"/>
      <c r="C8" s="4707"/>
      <c r="D8" s="4701"/>
      <c r="E8" s="191" t="s">
        <v>685</v>
      </c>
      <c r="F8" s="3894">
        <f ca="1">INDIRECT("'数据-取费表'!ai"&amp;$G$1)</f>
        <v>365</v>
      </c>
      <c r="G8" s="1030"/>
      <c r="H8" s="4700"/>
      <c r="I8" s="4703"/>
      <c r="J8" s="4704"/>
      <c r="K8" s="4708"/>
      <c r="L8" s="191" t="s">
        <v>685</v>
      </c>
      <c r="M8" s="3896">
        <f ca="1">INDIRECT("'数据-取费表'!ai"&amp;$G$1)</f>
        <v>365</v>
      </c>
    </row>
    <row r="9" spans="1:37" ht="18" customHeight="1">
      <c r="A9" s="3048" t="s">
        <v>3431</v>
      </c>
      <c r="B9" s="3472" t="s">
        <v>3428</v>
      </c>
      <c r="C9" s="4477">
        <f ca="1">ROUND(C7*F9,2)</f>
        <v>330.98</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78">
        <f ca="1">ROUND(IF(F10="押一",C6/12*F11,IF(F10="押二",C6/12*2*F11,IF(F10="押三",C6/12*3*F11,C11*F11))),2)</f>
        <v>3.72</v>
      </c>
      <c r="D10" s="1012" t="s">
        <v>2032</v>
      </c>
      <c r="E10" s="202" t="s">
        <v>688</v>
      </c>
      <c r="F10" s="821" t="s">
        <v>3893</v>
      </c>
      <c r="G10" s="1030"/>
      <c r="H10" s="779" t="s">
        <v>396</v>
      </c>
      <c r="I10" s="1011" t="s">
        <v>687</v>
      </c>
      <c r="J10" s="4450">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739</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645.28</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1"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ROUND((C16-C17)*(1+F15),2)</f>
        <v>286.88</v>
      </c>
      <c r="D15" s="3099" t="s">
        <v>3485</v>
      </c>
      <c r="E15" s="191" t="s">
        <v>3474</v>
      </c>
      <c r="F15" s="3132">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268.08999999999997</v>
      </c>
      <c r="D16" s="1092"/>
      <c r="E16" s="3077" t="s">
        <v>3440</v>
      </c>
      <c r="F16" s="3132">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7.29</v>
      </c>
      <c r="D17" s="3078" t="s">
        <v>3441</v>
      </c>
      <c r="E17" s="3078"/>
      <c r="F17" s="3132">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357.46</v>
      </c>
      <c r="D18" s="3069" t="s">
        <v>3894</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6">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6">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14.92</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2244</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8">
        <f ca="1">IF(C5&lt;&gt;0,ROUND(C24*(1-((1+F27)/(1+F25))^F26)/(F25-F27),0),0)</f>
        <v>32644</v>
      </c>
      <c r="D25" s="212" t="s">
        <v>745</v>
      </c>
      <c r="E25" s="191" t="s">
        <v>746</v>
      </c>
      <c r="F25" s="3136">
        <f ca="1">INDIRECT("'数据-取费表'!I"&amp;$G$1)</f>
        <v>5.5E-2</v>
      </c>
      <c r="G25" s="1030"/>
      <c r="H25" s="4709" t="s">
        <v>3728</v>
      </c>
      <c r="I25" s="4712" t="s">
        <v>744</v>
      </c>
      <c r="J25" s="4715">
        <f ca="1">IF(J5&lt;&gt;0,ROUND(J24*(1-((1+M27)/(1+M25))^M26)/(M25-M27),0),0)</f>
        <v>0</v>
      </c>
      <c r="K25" s="212" t="s">
        <v>745</v>
      </c>
      <c r="L25" s="202" t="s">
        <v>746</v>
      </c>
      <c r="M25" s="203">
        <f ca="1">INDIRECT("'数据-取费表'!I"&amp;$G$1)</f>
        <v>5.5E-2</v>
      </c>
    </row>
    <row r="26" spans="1:37">
      <c r="A26" s="3154"/>
      <c r="B26" s="4717"/>
      <c r="C26" s="4718"/>
      <c r="D26" s="220" t="s">
        <v>762</v>
      </c>
      <c r="E26" s="191" t="s">
        <v>750</v>
      </c>
      <c r="F26" s="3138">
        <f ca="1">IF(INDIRECT("'数据-取费表'!af"&amp;$G$1)=0,INDIRECT("'数据-取费表'!ae"&amp;$G$1),INDIRECT("'数据-取费表'!af"&amp;$G$1))</f>
        <v>30.07</v>
      </c>
      <c r="G26" s="1030"/>
      <c r="H26" s="4710"/>
      <c r="I26" s="4713"/>
      <c r="J26" s="4704"/>
      <c r="K26" s="3470" t="s">
        <v>749</v>
      </c>
      <c r="L26" s="191" t="s">
        <v>750</v>
      </c>
      <c r="M26" s="221">
        <f ca="1">INDIRECT("'数据-取费表'!ag"&amp;$G$1)</f>
        <v>0</v>
      </c>
    </row>
    <row r="27" spans="1:37" ht="18" customHeight="1">
      <c r="A27" s="1079"/>
      <c r="B27" s="4717"/>
      <c r="C27" s="4718"/>
      <c r="D27" s="215"/>
      <c r="E27" s="191" t="s">
        <v>753</v>
      </c>
      <c r="F27" s="3136">
        <f ca="1">INDIRECT("'数据-取费表'!v"&amp;$G$1)</f>
        <v>0</v>
      </c>
      <c r="G27" s="1030"/>
      <c r="H27" s="4711"/>
      <c r="I27" s="4714"/>
      <c r="J27" s="4716"/>
      <c r="K27" s="3470"/>
      <c r="L27" s="191" t="s">
        <v>753</v>
      </c>
      <c r="M27" s="201">
        <f ca="1">INDIRECT("'数据-取费表'!aa"&amp;$G$1)</f>
        <v>0</v>
      </c>
    </row>
    <row r="28" spans="1:37" s="1042" customFormat="1" ht="18" customHeight="1" thickBot="1">
      <c r="A28" s="4440" t="s">
        <v>3729</v>
      </c>
      <c r="B28" s="4441" t="s">
        <v>3514</v>
      </c>
      <c r="C28" s="4442">
        <f ca="1">ROUND(C25*(1+F28),0)</f>
        <v>35582</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44">
        <f ca="1">ROUND(C28*10000/F29,0)</f>
        <v>9025</v>
      </c>
      <c r="D29" s="4445" t="s">
        <v>3518</v>
      </c>
      <c r="E29" s="226" t="s">
        <v>765</v>
      </c>
      <c r="F29" s="3139">
        <f ca="1">INDIRECT("'数据-取费表'!k"&amp;$G$1)</f>
        <v>39425.99</v>
      </c>
      <c r="G29" s="1041"/>
      <c r="H29" s="4434" t="s">
        <v>3730</v>
      </c>
      <c r="I29" s="4435" t="s">
        <v>3515</v>
      </c>
      <c r="J29" s="4436">
        <f ca="1">ROUND(J28*(1+F28),0)</f>
        <v>0</v>
      </c>
      <c r="K29" s="4437" t="str">
        <f>D28</f>
        <v>其他类型公式—收益价值×（1+9%）</v>
      </c>
      <c r="L29" s="4438"/>
      <c r="M29" s="4439"/>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3">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-37031</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3895</v>
      </c>
      <c r="K52" s="1061" t="s">
        <v>803</v>
      </c>
      <c r="L52" s="3446">
        <f ca="1">INDIRECT("'数据-取费表'!d"&amp;$G$1)</f>
        <v>50</v>
      </c>
      <c r="M52" s="1026" t="str">
        <f>IF(ISNUMBER(FIND("住宅",C1)),"住宅","非住宅")</f>
        <v>非住宅</v>
      </c>
      <c r="O52" s="1063" t="s">
        <v>397</v>
      </c>
      <c r="P52" s="1064" t="s">
        <v>804</v>
      </c>
      <c r="Q52" s="3454">
        <f ca="1">C25+J28</f>
        <v>32644</v>
      </c>
      <c r="R52" s="1065" t="s">
        <v>805</v>
      </c>
    </row>
    <row r="53" spans="1:18" s="1030" customFormat="1" ht="28.5" thickBot="1">
      <c r="A53" s="816" t="s">
        <v>432</v>
      </c>
      <c r="B53" s="189" t="s">
        <v>679</v>
      </c>
      <c r="C53" s="3119">
        <f ca="1">C54+C58+C60</f>
        <v>0</v>
      </c>
      <c r="D53" s="818"/>
      <c r="E53" s="819"/>
      <c r="F53" s="702"/>
      <c r="G53" s="526"/>
      <c r="H53" s="527"/>
      <c r="I53" s="1066" t="s">
        <v>806</v>
      </c>
      <c r="J53" s="1067" t="s">
        <v>3896</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35441</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705" t="s">
        <v>824</v>
      </c>
      <c r="L58" s="4706"/>
      <c r="O58" s="1063" t="s">
        <v>403</v>
      </c>
      <c r="P58" s="1064" t="s">
        <v>825</v>
      </c>
      <c r="Q58" s="3454">
        <f ca="1">Q52+Q53</f>
        <v>33903</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32644</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47"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2">
        <f ca="1">IF(OR(M52="住宅",J56&lt;L53,J61="是"),"0",ROUND(J64/(1+J57)^J58,0))</f>
        <v>1259</v>
      </c>
      <c r="K65" s="1105" t="s">
        <v>841</v>
      </c>
      <c r="L65" s="4452">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32644</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32644</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35441</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1933</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2244</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32644</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0.86099999999999999</v>
      </c>
    </row>
    <row r="87" spans="1:12">
      <c r="B87" s="228" t="s">
        <v>787</v>
      </c>
      <c r="C87" s="3214">
        <f ca="1">ROUND(C82/C24,3)</f>
        <v>0.13900000000000001</v>
      </c>
    </row>
    <row r="88" spans="1:12">
      <c r="B88" s="170" t="s">
        <v>788</v>
      </c>
      <c r="C88" s="138"/>
    </row>
    <row r="89" spans="1:12">
      <c r="B89" s="173" t="s">
        <v>789</v>
      </c>
      <c r="C89" s="3215">
        <f ca="1">1-C90</f>
        <v>0.30600000000000005</v>
      </c>
    </row>
    <row r="90" spans="1:12">
      <c r="B90" s="173" t="s">
        <v>790</v>
      </c>
      <c r="C90" s="3214">
        <f ca="1">ROUND(C49/(C25+J28+L51),3)</f>
        <v>0.69399999999999995</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699" t="s">
        <v>391</v>
      </c>
      <c r="B7" s="4702" t="s">
        <v>3430</v>
      </c>
      <c r="C7" s="4719">
        <f ca="1">ROUND(F6*F7*F8,0)</f>
        <v>0</v>
      </c>
      <c r="D7" s="4701" t="s">
        <v>3516</v>
      </c>
      <c r="E7" s="3466" t="s">
        <v>684</v>
      </c>
      <c r="F7" s="3894">
        <f ca="1">IF(INDIRECT("'数据-取费表'!ah"&amp;$G$1)="",INDIRECT("'数据-取费表'!k"&amp;$G$1),INDIRECT("'数据-取费表'!ah"&amp;$G$1))</f>
        <v>0</v>
      </c>
      <c r="G7" s="1030"/>
      <c r="H7" s="4699" t="s">
        <v>391</v>
      </c>
      <c r="I7" s="4702" t="s">
        <v>3430</v>
      </c>
      <c r="J7" s="4704">
        <f ca="1">ROUND(M6*M8*M7/10000,0)</f>
        <v>0</v>
      </c>
      <c r="K7" s="4708" t="s">
        <v>3432</v>
      </c>
      <c r="L7" s="2075" t="s">
        <v>684</v>
      </c>
      <c r="M7" s="3937">
        <f ca="1">F7</f>
        <v>0</v>
      </c>
    </row>
    <row r="8" spans="1:37" ht="18" customHeight="1">
      <c r="A8" s="4700"/>
      <c r="B8" s="4703"/>
      <c r="C8" s="4719"/>
      <c r="D8" s="4701"/>
      <c r="E8" s="191" t="s">
        <v>685</v>
      </c>
      <c r="F8" s="3894">
        <f ca="1">INDIRECT("'数据-取费表'!ai"&amp;$G$1)</f>
        <v>0</v>
      </c>
      <c r="G8" s="1030"/>
      <c r="H8" s="4700"/>
      <c r="I8" s="4703"/>
      <c r="J8" s="4704"/>
      <c r="K8" s="4708"/>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46">
        <f ca="1">ROUND(IF(F10="押一",C6/12*F11,IF(F10="押二",C6/12*2*F11,IF(F10="押三",C6/12*3*F11,C11*F11))),0)</f>
        <v>0</v>
      </c>
      <c r="D10" s="1012" t="s">
        <v>2031</v>
      </c>
      <c r="E10" s="202" t="s">
        <v>688</v>
      </c>
      <c r="F10" s="821"/>
      <c r="G10" s="1030"/>
      <c r="H10" s="779" t="s">
        <v>396</v>
      </c>
      <c r="I10" s="1011" t="s">
        <v>687</v>
      </c>
      <c r="J10" s="4450">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47"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9" t="e">
        <f ca="1">ROUND(C24*(1-((1+F27)/(1+F25))^F26)/(F25-F27),0)</f>
        <v>#DIV/0!</v>
      </c>
      <c r="D25" s="212" t="s">
        <v>745</v>
      </c>
      <c r="E25" s="191" t="s">
        <v>746</v>
      </c>
      <c r="F25" s="3136">
        <f ca="1">INDIRECT("'数据-取费表'!I"&amp;$G$1)</f>
        <v>0</v>
      </c>
      <c r="G25" s="1030"/>
      <c r="H25" s="4709" t="s">
        <v>3728</v>
      </c>
      <c r="I25" s="4712" t="s">
        <v>744</v>
      </c>
      <c r="J25" s="4715">
        <f ca="1">IF(J5&lt;&gt;0,ROUND(J24*(1-((1+M27)/(1+M25))^M26)/(M25-M27),0),0)</f>
        <v>0</v>
      </c>
      <c r="K25" s="212" t="s">
        <v>745</v>
      </c>
      <c r="L25" s="3468" t="s">
        <v>746</v>
      </c>
      <c r="M25" s="3923">
        <f ca="1">INDIRECT("'数据-取费表'!I"&amp;$G$1)</f>
        <v>0</v>
      </c>
    </row>
    <row r="26" spans="1:37">
      <c r="A26" s="3154"/>
      <c r="B26" s="4717"/>
      <c r="C26" s="4719"/>
      <c r="D26" s="220" t="s">
        <v>762</v>
      </c>
      <c r="E26" s="191" t="s">
        <v>750</v>
      </c>
      <c r="F26" s="3138">
        <f ca="1">IF(INDIRECT("'数据-取费表'!af"&amp;$G$1)=0,INDIRECT("'数据-取费表'!ae"&amp;$G$1),INDIRECT("'数据-取费表'!af"&amp;$G$1))</f>
        <v>0</v>
      </c>
      <c r="G26" s="1030"/>
      <c r="H26" s="4710"/>
      <c r="I26" s="4713"/>
      <c r="J26" s="4704"/>
      <c r="K26" s="3470" t="s">
        <v>749</v>
      </c>
      <c r="L26" s="2075" t="s">
        <v>750</v>
      </c>
      <c r="M26" s="3933">
        <f ca="1">INDIRECT("'数据-取费表'!ag"&amp;$G$1)</f>
        <v>0</v>
      </c>
    </row>
    <row r="27" spans="1:37" ht="18" customHeight="1">
      <c r="A27" s="1079"/>
      <c r="B27" s="4717"/>
      <c r="C27" s="4719"/>
      <c r="D27" s="215"/>
      <c r="E27" s="191" t="s">
        <v>753</v>
      </c>
      <c r="F27" s="3136">
        <f ca="1">INDIRECT("'数据-取费表'!v"&amp;$G$1)</f>
        <v>0</v>
      </c>
      <c r="G27" s="1030"/>
      <c r="H27" s="4711"/>
      <c r="I27" s="4714"/>
      <c r="J27" s="4716"/>
      <c r="K27" s="3470"/>
      <c r="L27" s="2075" t="s">
        <v>753</v>
      </c>
      <c r="M27" s="3934">
        <f ca="1">INDIRECT("'数据-取费表'!aa"&amp;$G$1)</f>
        <v>0</v>
      </c>
    </row>
    <row r="28" spans="1:37" s="1042" customFormat="1" ht="18" customHeight="1" thickBot="1">
      <c r="A28" s="4440" t="s">
        <v>3729</v>
      </c>
      <c r="B28" s="4441" t="s">
        <v>3514</v>
      </c>
      <c r="C28" s="4453" t="e">
        <f ca="1">ROUND(C25*(1+F28),0)</f>
        <v>#DIV/0!</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54" t="e">
        <f ca="1">ROUND(C28/F29,0)</f>
        <v>#DIV/0!</v>
      </c>
      <c r="D29" s="4445" t="s">
        <v>3518</v>
      </c>
      <c r="E29" s="226" t="s">
        <v>765</v>
      </c>
      <c r="F29" s="3139">
        <f ca="1">INDIRECT("'数据-取费表'!k"&amp;$G$1)</f>
        <v>0</v>
      </c>
      <c r="G29" s="1041"/>
      <c r="H29" s="4434" t="s">
        <v>3731</v>
      </c>
      <c r="I29" s="4435" t="s">
        <v>3515</v>
      </c>
      <c r="J29" s="4455">
        <f ca="1">ROUND(J28*(1+F28),0)</f>
        <v>0</v>
      </c>
      <c r="K29" s="4437" t="str">
        <f>D28</f>
        <v>其他类型公式—收益价值×（1+9%）</v>
      </c>
      <c r="L29" s="4439"/>
      <c r="M29" s="4456"/>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3">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705" t="s">
        <v>824</v>
      </c>
      <c r="L58" s="4706"/>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47"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2" t="e">
        <f ca="1">IF(OR(M52="住宅",J56&lt;L53,J61="是"),"0",ROUND(J64/(1+J57)^J58,0))</f>
        <v>#DIV/0!</v>
      </c>
      <c r="K65" s="1105" t="s">
        <v>841</v>
      </c>
      <c r="L65" s="4452"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20" t="s">
        <v>681</v>
      </c>
      <c r="C6" s="784">
        <f ca="1">ROUND(F6*F8*F7*(1-F9),0)</f>
        <v>0</v>
      </c>
      <c r="D6" s="60" t="s">
        <v>2023</v>
      </c>
      <c r="E6" s="191" t="s">
        <v>683</v>
      </c>
      <c r="F6" s="192">
        <f ca="1">INDIRECT("'数据-取费表'!u"&amp;$G$1)</f>
        <v>0</v>
      </c>
      <c r="G6" s="1030"/>
      <c r="H6" s="779" t="s">
        <v>392</v>
      </c>
      <c r="I6" s="4720" t="s">
        <v>681</v>
      </c>
      <c r="J6" s="190">
        <f ca="1">ROUND(M6*M8*M7*(1-M9),0)</f>
        <v>0</v>
      </c>
      <c r="K6" s="1022" t="s">
        <v>2024</v>
      </c>
      <c r="L6" s="191" t="s">
        <v>683</v>
      </c>
      <c r="M6" s="192">
        <f ca="1">INDIRECT("'数据-取费表'!z"&amp;$G$1)</f>
        <v>0</v>
      </c>
    </row>
    <row r="7" spans="1:37" ht="18" customHeight="1">
      <c r="A7" s="783"/>
      <c r="B7" s="4721"/>
      <c r="C7" s="785"/>
      <c r="D7" s="196"/>
      <c r="E7" s="786" t="s">
        <v>684</v>
      </c>
      <c r="F7" s="192">
        <f ca="1">IF(INDIRECT("'数据-取费表'!ah"&amp;$G$1)="",INDIRECT("'数据-取费表'!k"&amp;$G$1),INDIRECT("'数据-取费表'!ah"&amp;$G$1))</f>
        <v>0</v>
      </c>
      <c r="G7" s="1030"/>
      <c r="H7" s="193"/>
      <c r="I7" s="4721"/>
      <c r="J7" s="195"/>
      <c r="K7" s="196"/>
      <c r="L7" s="191" t="s">
        <v>684</v>
      </c>
      <c r="M7" s="192">
        <f ca="1">F7</f>
        <v>0</v>
      </c>
    </row>
    <row r="8" spans="1:37" ht="18" customHeight="1">
      <c r="A8" s="193"/>
      <c r="B8" s="4721"/>
      <c r="C8" s="195"/>
      <c r="D8" s="196"/>
      <c r="E8" s="191" t="s">
        <v>685</v>
      </c>
      <c r="F8" s="192">
        <f ca="1">INDIRECT("'数据-取费表'!ai"&amp;$G$1)</f>
        <v>0</v>
      </c>
      <c r="G8" s="1030"/>
      <c r="H8" s="193"/>
      <c r="I8" s="4721"/>
      <c r="J8" s="195"/>
      <c r="K8" s="196"/>
      <c r="L8" s="191" t="s">
        <v>685</v>
      </c>
      <c r="M8" s="192">
        <f ca="1">INDIRECT("'数据-取费表'!ai"&amp;$G$1)</f>
        <v>0</v>
      </c>
    </row>
    <row r="9" spans="1:37" ht="18" customHeight="1">
      <c r="A9" s="193"/>
      <c r="B9" s="4722"/>
      <c r="C9" s="195"/>
      <c r="D9" s="196"/>
      <c r="E9" s="191" t="s">
        <v>686</v>
      </c>
      <c r="F9" s="201">
        <f ca="1">INDIRECT("'数据-取费表'!w"&amp;$G$1)</f>
        <v>0</v>
      </c>
      <c r="G9" s="1030"/>
      <c r="H9" s="193"/>
      <c r="I9" s="4722"/>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705" t="s">
        <v>824</v>
      </c>
      <c r="L53" s="4706"/>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9" t="s">
        <v>2227</v>
      </c>
      <c r="K2" s="4730"/>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31" t="s">
        <v>2237</v>
      </c>
      <c r="K3" s="4732"/>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31" t="s">
        <v>2239</v>
      </c>
      <c r="K4" s="4732"/>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38" t="s">
        <v>3843</v>
      </c>
      <c r="B6" s="4739"/>
      <c r="C6" s="4740"/>
      <c r="D6" s="3941"/>
      <c r="E6" s="4101"/>
      <c r="F6" s="2334"/>
      <c r="G6" s="2335"/>
      <c r="H6" s="2313"/>
      <c r="I6" s="2314"/>
      <c r="J6" s="4723">
        <v>1</v>
      </c>
      <c r="K6" s="4724"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23"/>
      <c r="K7" s="4725"/>
      <c r="L7" s="2344" t="s">
        <v>2253</v>
      </c>
      <c r="M7" s="4233"/>
      <c r="N7" s="4232"/>
      <c r="O7" s="2357"/>
      <c r="P7" s="2357"/>
      <c r="Q7" s="4232">
        <v>365</v>
      </c>
      <c r="R7" s="4231">
        <f>ROUND(M7*N7*O7*P7*Q7/10000,0)</f>
        <v>0</v>
      </c>
      <c r="S7" s="2307"/>
      <c r="T7" s="2307" t="s">
        <v>2254</v>
      </c>
      <c r="U7" s="2307"/>
      <c r="V7" s="2314"/>
    </row>
    <row r="8" spans="1:22" s="2318" customFormat="1" ht="13.15" customHeight="1">
      <c r="A8" s="2348" t="s">
        <v>2255</v>
      </c>
      <c r="B8" s="4741" t="s">
        <v>2256</v>
      </c>
      <c r="C8" s="4742"/>
      <c r="D8" s="2349" t="s">
        <v>2257</v>
      </c>
      <c r="E8" s="2350" t="s">
        <v>2258</v>
      </c>
      <c r="F8" s="2351" t="s">
        <v>2259</v>
      </c>
      <c r="G8" s="2352"/>
      <c r="H8" s="2313"/>
      <c r="I8" s="2314"/>
      <c r="J8" s="4723"/>
      <c r="K8" s="4725"/>
      <c r="L8" s="2344" t="s">
        <v>2260</v>
      </c>
      <c r="M8" s="4233"/>
      <c r="N8" s="4232"/>
      <c r="O8" s="2357"/>
      <c r="P8" s="2357"/>
      <c r="Q8" s="4232">
        <v>365</v>
      </c>
      <c r="R8" s="4231">
        <f t="shared" ref="R8:R13" si="0">ROUND(M8*N8*O8*P8*Q8/10000,0)</f>
        <v>0</v>
      </c>
      <c r="S8" s="2307"/>
      <c r="T8" s="2307" t="s">
        <v>2261</v>
      </c>
      <c r="U8" s="2307"/>
      <c r="V8" s="2314"/>
    </row>
    <row r="9" spans="1:22" s="2318" customFormat="1" ht="13.15" customHeight="1">
      <c r="A9" s="2348">
        <v>1</v>
      </c>
      <c r="B9" s="4741" t="s">
        <v>2262</v>
      </c>
      <c r="C9" s="4742"/>
      <c r="D9" s="3943">
        <f>ROUND(D6*E9,0)</f>
        <v>0</v>
      </c>
      <c r="E9" s="3944"/>
      <c r="F9" s="2353" t="s">
        <v>2263</v>
      </c>
      <c r="G9" s="2335"/>
      <c r="H9" s="2313"/>
      <c r="I9" s="2314"/>
      <c r="J9" s="4723"/>
      <c r="K9" s="4725"/>
      <c r="L9" s="2344" t="s">
        <v>2264</v>
      </c>
      <c r="M9" s="4233"/>
      <c r="N9" s="4232"/>
      <c r="O9" s="2357"/>
      <c r="P9" s="2357"/>
      <c r="Q9" s="4232">
        <v>365</v>
      </c>
      <c r="R9" s="4231">
        <f t="shared" si="0"/>
        <v>0</v>
      </c>
      <c r="S9" s="2307"/>
      <c r="T9" s="2307"/>
      <c r="U9" s="2307"/>
      <c r="V9" s="2314"/>
    </row>
    <row r="10" spans="1:22" s="2318" customFormat="1" ht="13.15" customHeight="1">
      <c r="A10" s="2348">
        <v>2</v>
      </c>
      <c r="B10" s="4741" t="s">
        <v>2265</v>
      </c>
      <c r="C10" s="4742"/>
      <c r="D10" s="3943">
        <f>ROUND(D6*E10,0)</f>
        <v>0</v>
      </c>
      <c r="E10" s="3944"/>
      <c r="F10" s="4096" t="s">
        <v>3766</v>
      </c>
      <c r="G10" s="2335"/>
      <c r="H10" s="2313"/>
      <c r="I10" s="2314"/>
      <c r="J10" s="4723"/>
      <c r="K10" s="4725"/>
      <c r="L10" s="2344" t="s">
        <v>2266</v>
      </c>
      <c r="M10" s="4233"/>
      <c r="N10" s="4232"/>
      <c r="O10" s="2357"/>
      <c r="P10" s="2357"/>
      <c r="Q10" s="4232">
        <v>365</v>
      </c>
      <c r="R10" s="4231">
        <f t="shared" si="0"/>
        <v>0</v>
      </c>
      <c r="S10" s="2307"/>
      <c r="T10" s="2307"/>
      <c r="U10" s="2307"/>
      <c r="V10" s="2314"/>
    </row>
    <row r="11" spans="1:22" s="2318" customFormat="1" ht="13.15" customHeight="1">
      <c r="A11" s="2348">
        <v>3</v>
      </c>
      <c r="B11" s="4741" t="s">
        <v>2267</v>
      </c>
      <c r="C11" s="4742"/>
      <c r="D11" s="3943">
        <f>D12+D14+D15+D16</f>
        <v>0</v>
      </c>
      <c r="E11" s="3945" t="e">
        <f>D11/D6</f>
        <v>#DIV/0!</v>
      </c>
      <c r="F11" s="2351"/>
      <c r="G11" s="2352"/>
      <c r="H11" s="2313"/>
      <c r="I11" s="2314"/>
      <c r="J11" s="4723"/>
      <c r="K11" s="4725"/>
      <c r="L11" s="2344" t="s">
        <v>2268</v>
      </c>
      <c r="M11" s="4233"/>
      <c r="N11" s="4232"/>
      <c r="O11" s="2357"/>
      <c r="P11" s="2357"/>
      <c r="Q11" s="4232">
        <v>365</v>
      </c>
      <c r="R11" s="4231">
        <f t="shared" si="0"/>
        <v>0</v>
      </c>
      <c r="S11" s="2307"/>
      <c r="T11" s="2307"/>
      <c r="U11" s="2307"/>
      <c r="V11" s="2314"/>
    </row>
    <row r="12" spans="1:22" s="2318" customFormat="1" ht="13.15" customHeight="1">
      <c r="A12" s="2354" t="s">
        <v>2269</v>
      </c>
      <c r="B12" s="4735" t="s">
        <v>2270</v>
      </c>
      <c r="C12" s="4734"/>
      <c r="D12" s="3946">
        <f>ROUND(D13*1.2%*(1-30%),0)</f>
        <v>0</v>
      </c>
      <c r="E12" s="3947">
        <v>1.2E-2</v>
      </c>
      <c r="F12" s="2351" t="s">
        <v>2271</v>
      </c>
      <c r="G12" s="2352"/>
      <c r="H12" s="2313"/>
      <c r="I12" s="2314"/>
      <c r="J12" s="4723"/>
      <c r="K12" s="4725"/>
      <c r="L12" s="2344" t="s">
        <v>2272</v>
      </c>
      <c r="M12" s="4233"/>
      <c r="N12" s="4232"/>
      <c r="O12" s="2357"/>
      <c r="P12" s="2357"/>
      <c r="Q12" s="4232">
        <v>365</v>
      </c>
      <c r="R12" s="4231">
        <f t="shared" si="0"/>
        <v>0</v>
      </c>
      <c r="S12" s="2307"/>
      <c r="T12" s="2307"/>
      <c r="U12" s="2307"/>
      <c r="V12" s="2314"/>
    </row>
    <row r="13" spans="1:22" s="2318" customFormat="1" ht="13.15" customHeight="1">
      <c r="A13" s="2354"/>
      <c r="B13" s="2355"/>
      <c r="C13" s="2356" t="s">
        <v>2273</v>
      </c>
      <c r="D13" s="3948"/>
      <c r="E13" s="2358"/>
      <c r="F13" s="2351"/>
      <c r="G13" s="2352"/>
      <c r="H13" s="2313"/>
      <c r="I13" s="2314"/>
      <c r="J13" s="4723"/>
      <c r="K13" s="4725"/>
      <c r="L13" s="2344" t="s">
        <v>2274</v>
      </c>
      <c r="M13" s="4233"/>
      <c r="N13" s="4232"/>
      <c r="O13" s="2357"/>
      <c r="P13" s="2357"/>
      <c r="Q13" s="4232">
        <v>365</v>
      </c>
      <c r="R13" s="4231">
        <f t="shared" si="0"/>
        <v>0</v>
      </c>
      <c r="S13" s="2307"/>
      <c r="T13" s="2307"/>
      <c r="U13" s="2307"/>
      <c r="V13" s="2314"/>
    </row>
    <row r="14" spans="1:22" s="2318" customFormat="1" ht="13.15" customHeight="1">
      <c r="A14" s="2354" t="s">
        <v>2275</v>
      </c>
      <c r="B14" s="4735" t="s">
        <v>2276</v>
      </c>
      <c r="C14" s="4734"/>
      <c r="D14" s="3946">
        <f>ROUND(E14*B5/10000,0)</f>
        <v>0</v>
      </c>
      <c r="E14" s="3949"/>
      <c r="F14" s="2351" t="s">
        <v>2277</v>
      </c>
      <c r="G14" s="2352"/>
      <c r="H14" s="2313"/>
      <c r="I14" s="2314"/>
      <c r="J14" s="4723"/>
      <c r="K14" s="4726"/>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33" t="s">
        <v>3840</v>
      </c>
      <c r="C15" s="4734"/>
      <c r="D15" s="3946">
        <f>IF(F15="酒店",E48*(1+E15),IF(F15="购物中心",E67*(1+E15),IF(F15="按比例计算-酒店",E46,E65)))</f>
        <v>0</v>
      </c>
      <c r="E15" s="3947">
        <f>'数据-取费表'!B44</f>
        <v>0.1</v>
      </c>
      <c r="F15" s="4099"/>
      <c r="G15" s="4100"/>
      <c r="H15" s="2313"/>
      <c r="I15" s="2314"/>
      <c r="J15" s="4723">
        <v>2</v>
      </c>
      <c r="K15" s="4724"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35" t="s">
        <v>2287</v>
      </c>
      <c r="C16" s="4734"/>
      <c r="D16" s="3950">
        <f>D6*E16</f>
        <v>0</v>
      </c>
      <c r="E16" s="3951"/>
      <c r="F16" s="2353" t="s">
        <v>2288</v>
      </c>
      <c r="G16" s="2335"/>
      <c r="H16" s="2313"/>
      <c r="I16" s="2314"/>
      <c r="J16" s="4723"/>
      <c r="K16" s="4725"/>
      <c r="L16" s="2344" t="s">
        <v>2289</v>
      </c>
      <c r="M16" s="4233"/>
      <c r="N16" s="4233"/>
      <c r="O16" s="2357"/>
      <c r="P16" s="4232">
        <v>365</v>
      </c>
      <c r="Q16" s="4232"/>
      <c r="R16" s="4231">
        <f>ROUND(M16*N16*O16*P16/10000,0)</f>
        <v>0</v>
      </c>
      <c r="S16" s="2307"/>
      <c r="T16" s="2307"/>
      <c r="U16" s="2307"/>
      <c r="V16" s="2314"/>
    </row>
    <row r="17" spans="1:22" s="2318" customFormat="1" ht="13.15" customHeight="1" thickBot="1">
      <c r="A17" s="2364">
        <v>4</v>
      </c>
      <c r="B17" s="4736" t="s">
        <v>2290</v>
      </c>
      <c r="C17" s="4737"/>
      <c r="D17" s="3952">
        <f>ROUND(D6*E17,0)</f>
        <v>0</v>
      </c>
      <c r="E17" s="3953"/>
      <c r="F17" s="4097" t="s">
        <v>3767</v>
      </c>
      <c r="G17" s="2335"/>
      <c r="H17" s="2313"/>
      <c r="I17" s="2314"/>
      <c r="J17" s="4723"/>
      <c r="K17" s="4725"/>
      <c r="L17" s="2344" t="s">
        <v>2291</v>
      </c>
      <c r="M17" s="4233"/>
      <c r="N17" s="4233"/>
      <c r="O17" s="2357"/>
      <c r="P17" s="4232">
        <v>365</v>
      </c>
      <c r="Q17" s="4232"/>
      <c r="R17" s="4231">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23"/>
      <c r="K18" s="4725"/>
      <c r="L18" s="2344" t="s">
        <v>2294</v>
      </c>
      <c r="M18" s="4233"/>
      <c r="N18" s="4233"/>
      <c r="O18" s="2357"/>
      <c r="P18" s="4232">
        <v>365</v>
      </c>
      <c r="Q18" s="4232"/>
      <c r="R18" s="4231">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23"/>
      <c r="K19" s="4726"/>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23">
        <v>3</v>
      </c>
      <c r="K20" s="4724"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23"/>
      <c r="K21" s="4725"/>
      <c r="L21" s="2344" t="s">
        <v>2307</v>
      </c>
      <c r="M21" s="4233"/>
      <c r="N21" s="4233"/>
      <c r="O21" s="2357"/>
      <c r="P21" s="4232">
        <v>365</v>
      </c>
      <c r="Q21" s="4232"/>
      <c r="R21" s="4234">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23"/>
      <c r="K22" s="4725"/>
      <c r="L22" s="2344" t="s">
        <v>2311</v>
      </c>
      <c r="M22" s="4233"/>
      <c r="N22" s="4233"/>
      <c r="O22" s="2357"/>
      <c r="P22" s="4232">
        <v>365</v>
      </c>
      <c r="Q22" s="4232"/>
      <c r="R22" s="4234">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23"/>
      <c r="K23" s="4725"/>
      <c r="L23" s="2344" t="s">
        <v>2313</v>
      </c>
      <c r="M23" s="4233"/>
      <c r="N23" s="4233"/>
      <c r="O23" s="2357"/>
      <c r="P23" s="4232">
        <v>365</v>
      </c>
      <c r="Q23" s="4232"/>
      <c r="R23" s="4234">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23"/>
      <c r="K24" s="4726"/>
      <c r="L24" s="2359" t="s">
        <v>2278</v>
      </c>
      <c r="M24" s="2360">
        <f>SUM(M21:M23)</f>
        <v>0</v>
      </c>
      <c r="N24" s="2360"/>
      <c r="O24" s="2361"/>
      <c r="P24" s="2367" t="s">
        <v>2339</v>
      </c>
      <c r="Q24" s="2346">
        <v>0</v>
      </c>
      <c r="R24" s="4235">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5">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27">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28"/>
      <c r="K27" s="2403"/>
      <c r="L27" s="2404"/>
      <c r="M27" s="2405"/>
      <c r="N27" s="3975"/>
      <c r="O27" s="3975"/>
      <c r="P27" s="3975"/>
      <c r="Q27" s="3975"/>
      <c r="R27" s="4235">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9" t="s">
        <v>2227</v>
      </c>
      <c r="K32" s="4730"/>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31" t="s">
        <v>2237</v>
      </c>
      <c r="K33" s="4732"/>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31" t="s">
        <v>2239</v>
      </c>
      <c r="K34" s="4732"/>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23">
        <v>1</v>
      </c>
      <c r="K36" s="4724"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23"/>
      <c r="K37" s="4725"/>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23"/>
      <c r="K38" s="4725"/>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23"/>
      <c r="K39" s="4725"/>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23"/>
      <c r="K40" s="4726"/>
      <c r="L40" s="2359" t="s">
        <v>2278</v>
      </c>
      <c r="M40" s="2360"/>
      <c r="N40" s="2360"/>
      <c r="O40" s="2361"/>
      <c r="P40" s="2361"/>
      <c r="Q40" s="3985"/>
      <c r="R40" s="4236">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5">
        <f>ROUND(R40*Q41,0)</f>
        <v>0</v>
      </c>
      <c r="S41" s="2370"/>
      <c r="T41" s="2307"/>
      <c r="U41" s="2400"/>
      <c r="V41" s="2314"/>
    </row>
    <row r="42" spans="1:23" s="2318" customFormat="1" ht="13.15" customHeight="1">
      <c r="G42" s="2425"/>
      <c r="H42" s="2313"/>
      <c r="I42" s="2314"/>
      <c r="J42" s="4727">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28"/>
      <c r="K43" s="2403"/>
      <c r="L43" s="2404"/>
      <c r="M43" s="2405"/>
      <c r="N43" s="3972"/>
      <c r="O43" s="3972"/>
      <c r="P43" s="3972"/>
      <c r="Q43" s="3972"/>
      <c r="R43" s="4235">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67"/>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38">
        <f ca="1">SUMIF(B6:B13,"&lt;&gt;#ref!",B6:B13)</f>
        <v>36954</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9306</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43" t="s">
        <v>1572</v>
      </c>
      <c r="C5" s="4744"/>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37">
        <f ca="1">IF(F6="是",'数据-取费表'!AO6,0)</f>
        <v>36954</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37"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37"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37"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37"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37"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37"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37"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8" t="s">
        <v>2001</v>
      </c>
      <c r="D1" s="4749"/>
      <c r="E1" s="4749"/>
      <c r="F1" s="4749"/>
      <c r="G1" s="4749"/>
      <c r="H1" s="4749"/>
      <c r="I1" s="4749"/>
      <c r="J1" s="4749"/>
      <c r="K1" s="4749"/>
      <c r="L1" s="4749"/>
      <c r="M1" s="4749"/>
      <c r="N1" s="4749"/>
      <c r="O1" s="4749"/>
      <c r="P1" s="4749"/>
      <c r="Q1" s="4749"/>
      <c r="R1" s="4749"/>
      <c r="S1" s="4750"/>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9"/>
      <c r="D3" s="4240"/>
      <c r="E3" s="4240"/>
      <c r="F3" s="4241"/>
      <c r="G3" s="4241"/>
      <c r="H3" s="4241"/>
      <c r="I3" s="4241"/>
      <c r="J3" s="4241"/>
      <c r="K3" s="4241"/>
      <c r="L3" s="967"/>
      <c r="M3" s="4242"/>
      <c r="N3" s="4242"/>
      <c r="O3" s="4241"/>
      <c r="P3" s="4241"/>
      <c r="Q3" s="4241"/>
      <c r="R3" s="4241"/>
      <c r="S3" s="4243"/>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4"/>
      <c r="D4" s="4245"/>
      <c r="E4" s="4245"/>
      <c r="F4" s="4246"/>
      <c r="G4" s="4246"/>
      <c r="H4" s="4246"/>
      <c r="I4" s="4246"/>
      <c r="J4" s="4246"/>
      <c r="K4" s="4246"/>
      <c r="L4" s="4246"/>
      <c r="M4" s="4247"/>
      <c r="N4" s="4247"/>
      <c r="O4" s="4246"/>
      <c r="P4" s="4246"/>
      <c r="Q4" s="4246"/>
      <c r="R4" s="4246"/>
      <c r="S4" s="4248"/>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49"/>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0">
        <v>100</v>
      </c>
      <c r="D6" s="4251">
        <f>C6-$T5</f>
        <v>100</v>
      </c>
      <c r="E6" s="4251">
        <f t="shared" ref="E6:S6" si="7">D6-$T5</f>
        <v>100</v>
      </c>
      <c r="F6" s="4252">
        <f t="shared" si="7"/>
        <v>100</v>
      </c>
      <c r="G6" s="4252">
        <f t="shared" si="7"/>
        <v>100</v>
      </c>
      <c r="H6" s="4252">
        <f t="shared" si="7"/>
        <v>100</v>
      </c>
      <c r="I6" s="4252">
        <f t="shared" si="7"/>
        <v>100</v>
      </c>
      <c r="J6" s="4252">
        <f t="shared" si="7"/>
        <v>100</v>
      </c>
      <c r="K6" s="4252">
        <f t="shared" si="7"/>
        <v>100</v>
      </c>
      <c r="L6" s="4252">
        <f t="shared" si="7"/>
        <v>100</v>
      </c>
      <c r="M6" s="4252">
        <f t="shared" si="7"/>
        <v>100</v>
      </c>
      <c r="N6" s="4252">
        <f t="shared" si="7"/>
        <v>100</v>
      </c>
      <c r="O6" s="4252">
        <f t="shared" si="7"/>
        <v>100</v>
      </c>
      <c r="P6" s="4252">
        <f t="shared" si="7"/>
        <v>100</v>
      </c>
      <c r="Q6" s="4252">
        <f t="shared" si="7"/>
        <v>100</v>
      </c>
      <c r="R6" s="4252">
        <f t="shared" si="7"/>
        <v>100</v>
      </c>
      <c r="S6" s="4252">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3"/>
      <c r="O7" s="974"/>
      <c r="P7" s="974"/>
      <c r="Q7" s="974"/>
      <c r="R7" s="4254"/>
      <c r="S7" s="4255"/>
      <c r="T7" s="4256"/>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0">
        <v>100</v>
      </c>
      <c r="D8" s="4251">
        <f>C8-$T7</f>
        <v>100</v>
      </c>
      <c r="E8" s="4251">
        <f t="shared" ref="E8:S8" si="8">D8-$T7</f>
        <v>100</v>
      </c>
      <c r="F8" s="4252">
        <f t="shared" si="8"/>
        <v>100</v>
      </c>
      <c r="G8" s="4252">
        <f t="shared" si="8"/>
        <v>100</v>
      </c>
      <c r="H8" s="4252">
        <f t="shared" si="8"/>
        <v>100</v>
      </c>
      <c r="I8" s="4252">
        <f t="shared" si="8"/>
        <v>100</v>
      </c>
      <c r="J8" s="4252">
        <f t="shared" si="8"/>
        <v>100</v>
      </c>
      <c r="K8" s="4252">
        <f t="shared" si="8"/>
        <v>100</v>
      </c>
      <c r="L8" s="4252">
        <f t="shared" si="8"/>
        <v>100</v>
      </c>
      <c r="M8" s="4252">
        <f t="shared" si="8"/>
        <v>100</v>
      </c>
      <c r="N8" s="4252">
        <f t="shared" si="8"/>
        <v>100</v>
      </c>
      <c r="O8" s="4252">
        <f t="shared" si="8"/>
        <v>100</v>
      </c>
      <c r="P8" s="4252">
        <f t="shared" si="8"/>
        <v>100</v>
      </c>
      <c r="Q8" s="4252">
        <f t="shared" si="8"/>
        <v>100</v>
      </c>
      <c r="R8" s="4252">
        <f t="shared" si="8"/>
        <v>100</v>
      </c>
      <c r="S8" s="4252">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3"/>
      <c r="O9" s="974"/>
      <c r="P9" s="974"/>
      <c r="Q9" s="974"/>
      <c r="R9" s="4254"/>
      <c r="S9" s="4255"/>
      <c r="T9" s="4256"/>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57">
        <v>100</v>
      </c>
      <c r="D10" s="4258">
        <f>C10-$T9</f>
        <v>100</v>
      </c>
      <c r="E10" s="4258">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59"/>
      <c r="O11" s="734"/>
      <c r="P11" s="734"/>
      <c r="Q11" s="734"/>
      <c r="R11" s="4260"/>
      <c r="S11" s="4261"/>
      <c r="T11" s="4249"/>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0">
        <v>100</v>
      </c>
      <c r="D12" s="4251">
        <f>C12-$T11</f>
        <v>100</v>
      </c>
      <c r="E12" s="4251">
        <f t="shared" ref="E12:S12" si="10">D12-$T11</f>
        <v>100</v>
      </c>
      <c r="F12" s="4251">
        <f t="shared" si="10"/>
        <v>100</v>
      </c>
      <c r="G12" s="4251">
        <f t="shared" si="10"/>
        <v>100</v>
      </c>
      <c r="H12" s="4251">
        <f t="shared" si="10"/>
        <v>100</v>
      </c>
      <c r="I12" s="4251">
        <f t="shared" si="10"/>
        <v>100</v>
      </c>
      <c r="J12" s="4251">
        <f t="shared" si="10"/>
        <v>100</v>
      </c>
      <c r="K12" s="4251">
        <f t="shared" si="10"/>
        <v>100</v>
      </c>
      <c r="L12" s="4251">
        <f t="shared" si="10"/>
        <v>100</v>
      </c>
      <c r="M12" s="4251">
        <f t="shared" si="10"/>
        <v>100</v>
      </c>
      <c r="N12" s="4251">
        <f t="shared" si="10"/>
        <v>100</v>
      </c>
      <c r="O12" s="4251">
        <f t="shared" si="10"/>
        <v>100</v>
      </c>
      <c r="P12" s="4251">
        <f t="shared" si="10"/>
        <v>100</v>
      </c>
      <c r="Q12" s="4251">
        <f t="shared" si="10"/>
        <v>100</v>
      </c>
      <c r="R12" s="4251">
        <f>Q12-$T11</f>
        <v>100</v>
      </c>
      <c r="S12" s="4251">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59"/>
      <c r="O13" s="734"/>
      <c r="P13" s="734"/>
      <c r="Q13" s="734"/>
      <c r="R13" s="4260"/>
      <c r="S13" s="4261"/>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59"/>
      <c r="O15" s="734"/>
      <c r="P15" s="734"/>
      <c r="Q15" s="734"/>
      <c r="R15" s="4260"/>
      <c r="S15" s="4261"/>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4"/>
      <c r="D16" s="4245"/>
      <c r="E16" s="4245"/>
      <c r="F16" s="4245"/>
      <c r="G16" s="4245"/>
      <c r="H16" s="4245"/>
      <c r="I16" s="4245"/>
      <c r="J16" s="4245"/>
      <c r="K16" s="4245"/>
      <c r="L16" s="4245"/>
      <c r="M16" s="4262"/>
      <c r="N16" s="4262"/>
      <c r="O16" s="4245"/>
      <c r="P16" s="4245"/>
      <c r="Q16" s="4245"/>
      <c r="R16" s="4245"/>
      <c r="S16" s="4263"/>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4"/>
      <c r="O17" s="742"/>
      <c r="P17" s="742"/>
      <c r="Q17" s="742"/>
      <c r="R17" s="4265"/>
      <c r="S17" s="4266"/>
      <c r="T17" s="4266"/>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67"/>
      <c r="D18" s="4268"/>
      <c r="E18" s="4268"/>
      <c r="F18" s="4268"/>
      <c r="G18" s="4268"/>
      <c r="H18" s="4268"/>
      <c r="I18" s="4268"/>
      <c r="J18" s="4268"/>
      <c r="K18" s="4268"/>
      <c r="L18" s="4268"/>
      <c r="M18" s="4269"/>
      <c r="N18" s="4269"/>
      <c r="O18" s="4268"/>
      <c r="P18" s="4268"/>
      <c r="Q18" s="4268"/>
      <c r="R18" s="4268"/>
      <c r="S18" s="4270"/>
      <c r="T18" s="4270"/>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45" t="s">
        <v>25</v>
      </c>
      <c r="D22" s="4746"/>
      <c r="E22" s="4746"/>
      <c r="F22" s="4746"/>
      <c r="G22" s="4746"/>
      <c r="H22" s="4746"/>
      <c r="I22" s="4746"/>
      <c r="J22" s="4746"/>
      <c r="K22" s="4746"/>
      <c r="L22" s="4746"/>
      <c r="M22" s="4746"/>
      <c r="N22" s="4746"/>
      <c r="O22" s="4746"/>
      <c r="P22" s="4746"/>
      <c r="Q22" s="4747"/>
      <c r="R22" s="4173" t="e">
        <f>ROUND(S22*10000/B22,0)</f>
        <v>#DIV/0!</v>
      </c>
      <c r="S22" s="4173">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1"/>
      <c r="S24" s="4272">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3">
        <f>IF(B25="",0,ROUND($R$24*C25*E25*G25*I25*K25*M25*O25*Q25,0))</f>
        <v>0</v>
      </c>
      <c r="S25" s="4273">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3">
        <f t="shared" ref="R26:R89" si="20">IF(B26="",0,ROUND($R$24*C26*E26*G26*I26*K26*M26*O26*Q26,0))</f>
        <v>0</v>
      </c>
      <c r="S26" s="4273">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3">
        <f t="shared" si="20"/>
        <v>0</v>
      </c>
      <c r="S27" s="4273">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3">
        <f t="shared" si="20"/>
        <v>0</v>
      </c>
      <c r="S28" s="4273">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3">
        <f t="shared" si="20"/>
        <v>0</v>
      </c>
      <c r="S29" s="4273">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3">
        <f t="shared" si="20"/>
        <v>0</v>
      </c>
      <c r="S30" s="4273">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3">
        <f t="shared" si="20"/>
        <v>0</v>
      </c>
      <c r="S31" s="4273">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3">
        <f t="shared" si="20"/>
        <v>0</v>
      </c>
      <c r="S32" s="4273">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3">
        <f t="shared" si="20"/>
        <v>0</v>
      </c>
      <c r="S33" s="4273">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3">
        <f t="shared" si="20"/>
        <v>0</v>
      </c>
      <c r="S34" s="4273">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3">
        <f t="shared" si="20"/>
        <v>0</v>
      </c>
      <c r="S35" s="4273">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3">
        <f t="shared" si="20"/>
        <v>0</v>
      </c>
      <c r="S36" s="4273">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3">
        <f t="shared" si="20"/>
        <v>0</v>
      </c>
      <c r="S37" s="4273">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3">
        <f t="shared" si="20"/>
        <v>0</v>
      </c>
      <c r="S38" s="4273">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3">
        <f t="shared" si="20"/>
        <v>0</v>
      </c>
      <c r="S39" s="4273">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3">
        <f t="shared" si="20"/>
        <v>0</v>
      </c>
      <c r="S40" s="4273">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3">
        <f t="shared" si="20"/>
        <v>0</v>
      </c>
      <c r="S41" s="4273">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3">
        <f t="shared" si="20"/>
        <v>0</v>
      </c>
      <c r="S42" s="4273">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3">
        <f t="shared" si="20"/>
        <v>0</v>
      </c>
      <c r="S43" s="4273">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3">
        <f t="shared" si="20"/>
        <v>0</v>
      </c>
      <c r="S44" s="4273">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3">
        <f t="shared" si="20"/>
        <v>0</v>
      </c>
      <c r="S45" s="4273">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3">
        <f t="shared" si="20"/>
        <v>0</v>
      </c>
      <c r="S46" s="4273">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3">
        <f t="shared" si="20"/>
        <v>0</v>
      </c>
      <c r="S47" s="4273">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3">
        <f t="shared" si="20"/>
        <v>0</v>
      </c>
      <c r="S48" s="4273">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3">
        <f t="shared" si="20"/>
        <v>0</v>
      </c>
      <c r="S49" s="4273">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3">
        <f t="shared" si="20"/>
        <v>0</v>
      </c>
      <c r="S50" s="4273">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3">
        <f t="shared" si="20"/>
        <v>0</v>
      </c>
      <c r="S51" s="4273">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3">
        <f t="shared" si="20"/>
        <v>0</v>
      </c>
      <c r="S52" s="4273">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3">
        <f t="shared" si="20"/>
        <v>0</v>
      </c>
      <c r="S53" s="4273">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3">
        <f t="shared" si="20"/>
        <v>0</v>
      </c>
      <c r="S54" s="4273">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3">
        <f t="shared" si="20"/>
        <v>0</v>
      </c>
      <c r="S55" s="4273">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3">
        <f t="shared" si="20"/>
        <v>0</v>
      </c>
      <c r="S56" s="4273">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3">
        <f t="shared" si="20"/>
        <v>0</v>
      </c>
      <c r="S57" s="4273">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3">
        <f t="shared" si="20"/>
        <v>0</v>
      </c>
      <c r="S58" s="4273">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3">
        <f t="shared" si="20"/>
        <v>0</v>
      </c>
      <c r="S59" s="4273">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3">
        <f t="shared" si="20"/>
        <v>0</v>
      </c>
      <c r="S60" s="4273">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3">
        <f t="shared" si="20"/>
        <v>0</v>
      </c>
      <c r="S61" s="4273">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3">
        <f t="shared" si="20"/>
        <v>0</v>
      </c>
      <c r="S62" s="4273">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3">
        <f t="shared" si="20"/>
        <v>0</v>
      </c>
      <c r="S63" s="4273">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3">
        <f t="shared" si="20"/>
        <v>0</v>
      </c>
      <c r="S64" s="4273">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3">
        <f t="shared" si="20"/>
        <v>0</v>
      </c>
      <c r="S65" s="4273">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3">
        <f t="shared" si="20"/>
        <v>0</v>
      </c>
      <c r="S66" s="4273">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3">
        <f t="shared" si="20"/>
        <v>0</v>
      </c>
      <c r="S67" s="4273">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3">
        <f t="shared" si="20"/>
        <v>0</v>
      </c>
      <c r="S68" s="4273">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3">
        <f t="shared" si="20"/>
        <v>0</v>
      </c>
      <c r="S69" s="4273">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3">
        <f t="shared" si="20"/>
        <v>0</v>
      </c>
      <c r="S70" s="4273">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3">
        <f t="shared" si="20"/>
        <v>0</v>
      </c>
      <c r="S71" s="4273">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3">
        <f t="shared" si="20"/>
        <v>0</v>
      </c>
      <c r="S72" s="4273">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3">
        <f t="shared" si="20"/>
        <v>0</v>
      </c>
      <c r="S73" s="4273">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3">
        <f t="shared" si="20"/>
        <v>0</v>
      </c>
      <c r="S74" s="4273">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3">
        <f t="shared" si="20"/>
        <v>0</v>
      </c>
      <c r="S75" s="4273">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3">
        <f t="shared" si="20"/>
        <v>0</v>
      </c>
      <c r="S76" s="4273">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3">
        <f t="shared" si="20"/>
        <v>0</v>
      </c>
      <c r="S77" s="4273">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3">
        <f t="shared" si="20"/>
        <v>0</v>
      </c>
      <c r="S78" s="4273">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3">
        <f t="shared" si="20"/>
        <v>0</v>
      </c>
      <c r="S79" s="4273">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3">
        <f t="shared" si="20"/>
        <v>0</v>
      </c>
      <c r="S80" s="4273">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3">
        <f t="shared" si="20"/>
        <v>0</v>
      </c>
      <c r="S81" s="4273">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3">
        <f t="shared" si="20"/>
        <v>0</v>
      </c>
      <c r="S82" s="4273">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3">
        <f t="shared" si="20"/>
        <v>0</v>
      </c>
      <c r="S83" s="4273">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3">
        <f t="shared" si="20"/>
        <v>0</v>
      </c>
      <c r="S84" s="4273">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3">
        <f t="shared" si="20"/>
        <v>0</v>
      </c>
      <c r="S85" s="4273">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3">
        <f t="shared" si="20"/>
        <v>0</v>
      </c>
      <c r="S86" s="4273">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3">
        <f t="shared" si="20"/>
        <v>0</v>
      </c>
      <c r="S87" s="4273">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3">
        <f t="shared" si="20"/>
        <v>0</v>
      </c>
      <c r="S88" s="4273">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3">
        <f t="shared" si="20"/>
        <v>0</v>
      </c>
      <c r="S89" s="4273">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3">
        <f t="shared" ref="R90:R153" si="31">IF(B90="",0,ROUND($R$24*C90*E90*G90*I90*K90*M90*O90*Q90,0))</f>
        <v>0</v>
      </c>
      <c r="S90" s="4273">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3">
        <f t="shared" si="31"/>
        <v>0</v>
      </c>
      <c r="S91" s="4273">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3">
        <f t="shared" si="31"/>
        <v>0</v>
      </c>
      <c r="S92" s="4273">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3">
        <f t="shared" si="31"/>
        <v>0</v>
      </c>
      <c r="S93" s="4273">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3">
        <f t="shared" si="31"/>
        <v>0</v>
      </c>
      <c r="S94" s="4273">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3">
        <f t="shared" si="31"/>
        <v>0</v>
      </c>
      <c r="S95" s="4273">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3">
        <f t="shared" si="31"/>
        <v>0</v>
      </c>
      <c r="S96" s="4273">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3">
        <f t="shared" si="31"/>
        <v>0</v>
      </c>
      <c r="S97" s="4273">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3">
        <f t="shared" si="31"/>
        <v>0</v>
      </c>
      <c r="S98" s="4273">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3">
        <f t="shared" si="31"/>
        <v>0</v>
      </c>
      <c r="S99" s="4273">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3">
        <f t="shared" si="31"/>
        <v>0</v>
      </c>
      <c r="S100" s="4273">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3">
        <f t="shared" si="31"/>
        <v>0</v>
      </c>
      <c r="S101" s="4273">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3">
        <f t="shared" si="31"/>
        <v>0</v>
      </c>
      <c r="S102" s="4273">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3">
        <f t="shared" si="31"/>
        <v>0</v>
      </c>
      <c r="S103" s="4273">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3">
        <f t="shared" si="31"/>
        <v>0</v>
      </c>
      <c r="S104" s="4273">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3">
        <f t="shared" si="31"/>
        <v>0</v>
      </c>
      <c r="S105" s="4273">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3">
        <f t="shared" si="31"/>
        <v>0</v>
      </c>
      <c r="S106" s="4273">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3">
        <f t="shared" si="31"/>
        <v>0</v>
      </c>
      <c r="S107" s="4273">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3">
        <f t="shared" si="31"/>
        <v>0</v>
      </c>
      <c r="S108" s="4273">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3">
        <f t="shared" si="31"/>
        <v>0</v>
      </c>
      <c r="S109" s="4273">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3">
        <f t="shared" si="31"/>
        <v>0</v>
      </c>
      <c r="S110" s="4273">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3">
        <f t="shared" si="31"/>
        <v>0</v>
      </c>
      <c r="S111" s="4273">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3">
        <f t="shared" si="31"/>
        <v>0</v>
      </c>
      <c r="S112" s="4273">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3">
        <f t="shared" si="31"/>
        <v>0</v>
      </c>
      <c r="S113" s="4273">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3">
        <f t="shared" si="31"/>
        <v>0</v>
      </c>
      <c r="S114" s="4273">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3">
        <f t="shared" si="31"/>
        <v>0</v>
      </c>
      <c r="S115" s="4273">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3">
        <f t="shared" si="31"/>
        <v>0</v>
      </c>
      <c r="S116" s="4273">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3">
        <f t="shared" si="31"/>
        <v>0</v>
      </c>
      <c r="S117" s="4273">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3">
        <f t="shared" si="31"/>
        <v>0</v>
      </c>
      <c r="S118" s="4273">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3">
        <f t="shared" si="31"/>
        <v>0</v>
      </c>
      <c r="S119" s="4273">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3">
        <f t="shared" si="31"/>
        <v>0</v>
      </c>
      <c r="S120" s="4273">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3">
        <f t="shared" si="31"/>
        <v>0</v>
      </c>
      <c r="S121" s="4273">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3">
        <f t="shared" si="31"/>
        <v>0</v>
      </c>
      <c r="S122" s="4273">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3">
        <f t="shared" si="31"/>
        <v>0</v>
      </c>
      <c r="S123" s="4273">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3">
        <f t="shared" si="31"/>
        <v>0</v>
      </c>
      <c r="S124" s="4273">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3">
        <f t="shared" si="31"/>
        <v>0</v>
      </c>
      <c r="S125" s="4273">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3">
        <f t="shared" si="31"/>
        <v>0</v>
      </c>
      <c r="S126" s="4273">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3">
        <f t="shared" si="31"/>
        <v>0</v>
      </c>
      <c r="S127" s="4273">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3">
        <f t="shared" si="31"/>
        <v>0</v>
      </c>
      <c r="S128" s="4273">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3">
        <f t="shared" si="31"/>
        <v>0</v>
      </c>
      <c r="S129" s="4273">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3">
        <f t="shared" si="31"/>
        <v>0</v>
      </c>
      <c r="S130" s="4273">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3">
        <f t="shared" si="31"/>
        <v>0</v>
      </c>
      <c r="S131" s="4273">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3">
        <f t="shared" si="31"/>
        <v>0</v>
      </c>
      <c r="S132" s="4273">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3">
        <f t="shared" si="31"/>
        <v>0</v>
      </c>
      <c r="S133" s="4273">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3">
        <f t="shared" si="31"/>
        <v>0</v>
      </c>
      <c r="S134" s="4273">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3">
        <f t="shared" si="31"/>
        <v>0</v>
      </c>
      <c r="S135" s="4273">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3">
        <f t="shared" si="31"/>
        <v>0</v>
      </c>
      <c r="S136" s="4273">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3">
        <f t="shared" si="31"/>
        <v>0</v>
      </c>
      <c r="S137" s="4273">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3">
        <f t="shared" si="31"/>
        <v>0</v>
      </c>
      <c r="S138" s="4273">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3">
        <f t="shared" si="31"/>
        <v>0</v>
      </c>
      <c r="S139" s="4273">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3">
        <f t="shared" si="31"/>
        <v>0</v>
      </c>
      <c r="S140" s="4273">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3">
        <f t="shared" si="31"/>
        <v>0</v>
      </c>
      <c r="S141" s="4273">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3">
        <f t="shared" si="31"/>
        <v>0</v>
      </c>
      <c r="S142" s="4273">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3">
        <f t="shared" si="31"/>
        <v>0</v>
      </c>
      <c r="S143" s="4273">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3">
        <f t="shared" si="31"/>
        <v>0</v>
      </c>
      <c r="S144" s="4273">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3">
        <f t="shared" si="31"/>
        <v>0</v>
      </c>
      <c r="S145" s="4273">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3">
        <f t="shared" si="31"/>
        <v>0</v>
      </c>
      <c r="S146" s="4273">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3">
        <f t="shared" si="31"/>
        <v>0</v>
      </c>
      <c r="S147" s="4273">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3">
        <f t="shared" si="31"/>
        <v>0</v>
      </c>
      <c r="S148" s="4273">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3">
        <f t="shared" si="31"/>
        <v>0</v>
      </c>
      <c r="S149" s="4273">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3">
        <f t="shared" si="31"/>
        <v>0</v>
      </c>
      <c r="S150" s="4273">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3">
        <f t="shared" si="31"/>
        <v>0</v>
      </c>
      <c r="S151" s="4273">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3">
        <f t="shared" si="31"/>
        <v>0</v>
      </c>
      <c r="S152" s="4273">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3">
        <f t="shared" si="31"/>
        <v>0</v>
      </c>
      <c r="S153" s="4273">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3">
        <f t="shared" ref="R154:R217" si="41">IF(B154="",0,ROUND($R$24*C154*E154*G154*I154*K154*M154*O154*Q154,0))</f>
        <v>0</v>
      </c>
      <c r="S154" s="4273">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3">
        <f t="shared" si="41"/>
        <v>0</v>
      </c>
      <c r="S155" s="4273">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3">
        <f t="shared" si="41"/>
        <v>0</v>
      </c>
      <c r="S156" s="4273">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3">
        <f t="shared" si="41"/>
        <v>0</v>
      </c>
      <c r="S157" s="4273">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3">
        <f t="shared" si="41"/>
        <v>0</v>
      </c>
      <c r="S158" s="4273">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3">
        <f t="shared" si="41"/>
        <v>0</v>
      </c>
      <c r="S159" s="4273">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3">
        <f t="shared" si="41"/>
        <v>0</v>
      </c>
      <c r="S160" s="4273">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3">
        <f t="shared" si="41"/>
        <v>0</v>
      </c>
      <c r="S161" s="4273">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3">
        <f t="shared" si="41"/>
        <v>0</v>
      </c>
      <c r="S162" s="4273">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3">
        <f t="shared" si="41"/>
        <v>0</v>
      </c>
      <c r="S163" s="4273">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3">
        <f t="shared" si="41"/>
        <v>0</v>
      </c>
      <c r="S164" s="4273">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3">
        <f t="shared" si="41"/>
        <v>0</v>
      </c>
      <c r="S165" s="4273">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3">
        <f t="shared" si="41"/>
        <v>0</v>
      </c>
      <c r="S166" s="4273">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3">
        <f t="shared" si="41"/>
        <v>0</v>
      </c>
      <c r="S167" s="4273">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3">
        <f t="shared" si="41"/>
        <v>0</v>
      </c>
      <c r="S168" s="4273">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3">
        <f t="shared" si="41"/>
        <v>0</v>
      </c>
      <c r="S169" s="4273">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3">
        <f t="shared" si="41"/>
        <v>0</v>
      </c>
      <c r="S170" s="4273">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3">
        <f t="shared" si="41"/>
        <v>0</v>
      </c>
      <c r="S171" s="4273">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3">
        <f t="shared" si="41"/>
        <v>0</v>
      </c>
      <c r="S172" s="4273">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3">
        <f t="shared" si="41"/>
        <v>0</v>
      </c>
      <c r="S173" s="4273">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3">
        <f t="shared" si="41"/>
        <v>0</v>
      </c>
      <c r="S174" s="4273">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3">
        <f t="shared" si="41"/>
        <v>0</v>
      </c>
      <c r="S175" s="4273">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3">
        <f t="shared" si="41"/>
        <v>0</v>
      </c>
      <c r="S176" s="4273">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3">
        <f t="shared" si="41"/>
        <v>0</v>
      </c>
      <c r="S177" s="4273">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3">
        <f t="shared" si="41"/>
        <v>0</v>
      </c>
      <c r="S178" s="4273">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3">
        <f t="shared" si="41"/>
        <v>0</v>
      </c>
      <c r="S179" s="4273">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3">
        <f t="shared" si="41"/>
        <v>0</v>
      </c>
      <c r="S180" s="4273">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3">
        <f t="shared" si="41"/>
        <v>0</v>
      </c>
      <c r="S181" s="4273">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3">
        <f t="shared" si="41"/>
        <v>0</v>
      </c>
      <c r="S182" s="4273">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3">
        <f t="shared" si="41"/>
        <v>0</v>
      </c>
      <c r="S183" s="4273">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3">
        <f t="shared" si="41"/>
        <v>0</v>
      </c>
      <c r="S184" s="4273">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3">
        <f t="shared" si="41"/>
        <v>0</v>
      </c>
      <c r="S185" s="4273">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3">
        <f t="shared" si="41"/>
        <v>0</v>
      </c>
      <c r="S186" s="4273">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3">
        <f t="shared" si="41"/>
        <v>0</v>
      </c>
      <c r="S187" s="4273">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3">
        <f t="shared" si="41"/>
        <v>0</v>
      </c>
      <c r="S188" s="4273">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3">
        <f t="shared" si="41"/>
        <v>0</v>
      </c>
      <c r="S189" s="4273">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3">
        <f t="shared" si="41"/>
        <v>0</v>
      </c>
      <c r="S190" s="4273">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3">
        <f t="shared" si="41"/>
        <v>0</v>
      </c>
      <c r="S191" s="4273">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3">
        <f t="shared" si="41"/>
        <v>0</v>
      </c>
      <c r="S192" s="4273">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3">
        <f t="shared" si="41"/>
        <v>0</v>
      </c>
      <c r="S193" s="4273">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3">
        <f t="shared" si="41"/>
        <v>0</v>
      </c>
      <c r="S194" s="4273">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3">
        <f t="shared" si="41"/>
        <v>0</v>
      </c>
      <c r="S195" s="4273">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3">
        <f t="shared" si="41"/>
        <v>0</v>
      </c>
      <c r="S196" s="4273">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3">
        <f t="shared" si="41"/>
        <v>0</v>
      </c>
      <c r="S197" s="4273">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3">
        <f t="shared" si="41"/>
        <v>0</v>
      </c>
      <c r="S198" s="4273">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3">
        <f t="shared" si="41"/>
        <v>0</v>
      </c>
      <c r="S199" s="4273">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3">
        <f t="shared" si="41"/>
        <v>0</v>
      </c>
      <c r="S200" s="4273">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3">
        <f t="shared" si="41"/>
        <v>0</v>
      </c>
      <c r="S201" s="4273">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3">
        <f t="shared" si="41"/>
        <v>0</v>
      </c>
      <c r="S202" s="4273">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3">
        <f t="shared" si="41"/>
        <v>0</v>
      </c>
      <c r="S203" s="4273">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3">
        <f t="shared" si="41"/>
        <v>0</v>
      </c>
      <c r="S204" s="4273">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3">
        <f t="shared" si="41"/>
        <v>0</v>
      </c>
      <c r="S205" s="4273">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3">
        <f t="shared" si="41"/>
        <v>0</v>
      </c>
      <c r="S206" s="4273">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3">
        <f t="shared" si="41"/>
        <v>0</v>
      </c>
      <c r="S207" s="4273">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3">
        <f t="shared" si="41"/>
        <v>0</v>
      </c>
      <c r="S208" s="4273">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3">
        <f t="shared" si="41"/>
        <v>0</v>
      </c>
      <c r="S209" s="4273">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3">
        <f t="shared" si="41"/>
        <v>0</v>
      </c>
      <c r="S210" s="4273">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3">
        <f t="shared" si="41"/>
        <v>0</v>
      </c>
      <c r="S211" s="4273">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3">
        <f t="shared" si="41"/>
        <v>0</v>
      </c>
      <c r="S212" s="4273">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3">
        <f t="shared" si="41"/>
        <v>0</v>
      </c>
      <c r="S213" s="4273">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3">
        <f t="shared" si="41"/>
        <v>0</v>
      </c>
      <c r="S214" s="4273">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3">
        <f t="shared" si="41"/>
        <v>0</v>
      </c>
      <c r="S215" s="4273">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3">
        <f t="shared" si="41"/>
        <v>0</v>
      </c>
      <c r="S216" s="4273">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3">
        <f t="shared" si="41"/>
        <v>0</v>
      </c>
      <c r="S217" s="4273">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3">
        <f t="shared" ref="R218:R281" si="51">IF(B218="",0,ROUND($R$24*C218*E218*G218*I218*K218*M218*O218*Q218,0))</f>
        <v>0</v>
      </c>
      <c r="S218" s="4273">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3">
        <f t="shared" si="51"/>
        <v>0</v>
      </c>
      <c r="S219" s="4273">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3">
        <f t="shared" si="51"/>
        <v>0</v>
      </c>
      <c r="S220" s="4273">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3">
        <f t="shared" si="51"/>
        <v>0</v>
      </c>
      <c r="S221" s="4273">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3">
        <f t="shared" si="51"/>
        <v>0</v>
      </c>
      <c r="S222" s="4273">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3">
        <f t="shared" si="51"/>
        <v>0</v>
      </c>
      <c r="S223" s="4273">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3">
        <f t="shared" si="51"/>
        <v>0</v>
      </c>
      <c r="S224" s="4273">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3">
        <f t="shared" si="51"/>
        <v>0</v>
      </c>
      <c r="S225" s="4273">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3">
        <f t="shared" si="51"/>
        <v>0</v>
      </c>
      <c r="S226" s="4273">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3">
        <f t="shared" si="51"/>
        <v>0</v>
      </c>
      <c r="S227" s="4273">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3">
        <f t="shared" si="51"/>
        <v>0</v>
      </c>
      <c r="S228" s="4273">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3">
        <f t="shared" si="51"/>
        <v>0</v>
      </c>
      <c r="S229" s="4273">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3">
        <f t="shared" si="51"/>
        <v>0</v>
      </c>
      <c r="S230" s="4273">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3">
        <f t="shared" si="51"/>
        <v>0</v>
      </c>
      <c r="S231" s="4273">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3">
        <f t="shared" si="51"/>
        <v>0</v>
      </c>
      <c r="S232" s="4273">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3">
        <f t="shared" si="51"/>
        <v>0</v>
      </c>
      <c r="S233" s="4273">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3">
        <f t="shared" si="51"/>
        <v>0</v>
      </c>
      <c r="S234" s="4273">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3">
        <f t="shared" si="51"/>
        <v>0</v>
      </c>
      <c r="S235" s="4273">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3">
        <f t="shared" si="51"/>
        <v>0</v>
      </c>
      <c r="S236" s="4273">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3">
        <f t="shared" si="51"/>
        <v>0</v>
      </c>
      <c r="S237" s="4273">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3">
        <f t="shared" si="51"/>
        <v>0</v>
      </c>
      <c r="S238" s="4273">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3">
        <f t="shared" si="51"/>
        <v>0</v>
      </c>
      <c r="S239" s="4273">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3">
        <f t="shared" si="51"/>
        <v>0</v>
      </c>
      <c r="S240" s="4273">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3">
        <f t="shared" si="51"/>
        <v>0</v>
      </c>
      <c r="S241" s="4273">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3">
        <f t="shared" si="51"/>
        <v>0</v>
      </c>
      <c r="S242" s="4273">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3">
        <f t="shared" si="51"/>
        <v>0</v>
      </c>
      <c r="S243" s="4273">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3">
        <f t="shared" si="51"/>
        <v>0</v>
      </c>
      <c r="S244" s="4273">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3">
        <f t="shared" si="51"/>
        <v>0</v>
      </c>
      <c r="S245" s="4273">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3">
        <f t="shared" si="51"/>
        <v>0</v>
      </c>
      <c r="S246" s="4273">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3">
        <f t="shared" si="51"/>
        <v>0</v>
      </c>
      <c r="S247" s="4273">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3">
        <f t="shared" si="51"/>
        <v>0</v>
      </c>
      <c r="S248" s="4273">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3">
        <f t="shared" si="51"/>
        <v>0</v>
      </c>
      <c r="S249" s="4273">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3">
        <f t="shared" si="51"/>
        <v>0</v>
      </c>
      <c r="S250" s="4273">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3">
        <f t="shared" si="51"/>
        <v>0</v>
      </c>
      <c r="S251" s="4273">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3">
        <f t="shared" si="51"/>
        <v>0</v>
      </c>
      <c r="S252" s="4273">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3">
        <f t="shared" si="51"/>
        <v>0</v>
      </c>
      <c r="S253" s="4273">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3">
        <f t="shared" si="51"/>
        <v>0</v>
      </c>
      <c r="S254" s="4273">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3">
        <f t="shared" si="51"/>
        <v>0</v>
      </c>
      <c r="S255" s="4273">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3">
        <f t="shared" si="51"/>
        <v>0</v>
      </c>
      <c r="S256" s="4273">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3">
        <f t="shared" si="51"/>
        <v>0</v>
      </c>
      <c r="S257" s="4273">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3">
        <f t="shared" si="51"/>
        <v>0</v>
      </c>
      <c r="S258" s="4273">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3">
        <f t="shared" si="51"/>
        <v>0</v>
      </c>
      <c r="S259" s="4273">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3">
        <f t="shared" si="51"/>
        <v>0</v>
      </c>
      <c r="S260" s="4273">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3">
        <f t="shared" si="51"/>
        <v>0</v>
      </c>
      <c r="S261" s="4273">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3">
        <f t="shared" si="51"/>
        <v>0</v>
      </c>
      <c r="S262" s="4273">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3">
        <f t="shared" si="51"/>
        <v>0</v>
      </c>
      <c r="S263" s="4273">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3">
        <f t="shared" si="51"/>
        <v>0</v>
      </c>
      <c r="S264" s="4273">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3">
        <f t="shared" si="51"/>
        <v>0</v>
      </c>
      <c r="S265" s="4273">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3">
        <f t="shared" si="51"/>
        <v>0</v>
      </c>
      <c r="S266" s="4273">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3">
        <f t="shared" si="51"/>
        <v>0</v>
      </c>
      <c r="S267" s="4273">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3">
        <f t="shared" si="51"/>
        <v>0</v>
      </c>
      <c r="S268" s="4273">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3">
        <f t="shared" si="51"/>
        <v>0</v>
      </c>
      <c r="S269" s="4273">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3">
        <f t="shared" si="51"/>
        <v>0</v>
      </c>
      <c r="S270" s="4273">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3">
        <f t="shared" si="51"/>
        <v>0</v>
      </c>
      <c r="S271" s="4273">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3">
        <f t="shared" si="51"/>
        <v>0</v>
      </c>
      <c r="S272" s="4273">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3">
        <f t="shared" si="51"/>
        <v>0</v>
      </c>
      <c r="S273" s="4273">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3">
        <f t="shared" si="51"/>
        <v>0</v>
      </c>
      <c r="S274" s="4273">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3">
        <f t="shared" si="51"/>
        <v>0</v>
      </c>
      <c r="S275" s="4273">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3">
        <f t="shared" si="51"/>
        <v>0</v>
      </c>
      <c r="S276" s="4273">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3">
        <f t="shared" si="51"/>
        <v>0</v>
      </c>
      <c r="S277" s="4273">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3">
        <f t="shared" si="51"/>
        <v>0</v>
      </c>
      <c r="S278" s="4273">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3">
        <f t="shared" si="51"/>
        <v>0</v>
      </c>
      <c r="S279" s="4273">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3">
        <f t="shared" si="51"/>
        <v>0</v>
      </c>
      <c r="S280" s="4273">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3">
        <f t="shared" si="51"/>
        <v>0</v>
      </c>
      <c r="S281" s="4273">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3">
        <f t="shared" ref="R282:R345" si="61">IF(B282="",0,ROUND($R$24*C282*E282*G282*I282*K282*M282*O282*Q282,0))</f>
        <v>0</v>
      </c>
      <c r="S282" s="4273">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3">
        <f t="shared" si="61"/>
        <v>0</v>
      </c>
      <c r="S283" s="4273">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3">
        <f t="shared" si="61"/>
        <v>0</v>
      </c>
      <c r="S284" s="4273">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3">
        <f t="shared" si="61"/>
        <v>0</v>
      </c>
      <c r="S285" s="4273">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3">
        <f t="shared" si="61"/>
        <v>0</v>
      </c>
      <c r="S286" s="4273">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3">
        <f t="shared" si="61"/>
        <v>0</v>
      </c>
      <c r="S287" s="4273">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3">
        <f t="shared" si="61"/>
        <v>0</v>
      </c>
      <c r="S288" s="4273">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3">
        <f t="shared" si="61"/>
        <v>0</v>
      </c>
      <c r="S289" s="4273">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3">
        <f t="shared" si="61"/>
        <v>0</v>
      </c>
      <c r="S290" s="4273">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3">
        <f t="shared" si="61"/>
        <v>0</v>
      </c>
      <c r="S291" s="4273">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3">
        <f t="shared" si="61"/>
        <v>0</v>
      </c>
      <c r="S292" s="4273">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3">
        <f t="shared" si="61"/>
        <v>0</v>
      </c>
      <c r="S293" s="4273">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3">
        <f t="shared" si="61"/>
        <v>0</v>
      </c>
      <c r="S294" s="4273">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3">
        <f t="shared" si="61"/>
        <v>0</v>
      </c>
      <c r="S295" s="4273">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3">
        <f t="shared" si="61"/>
        <v>0</v>
      </c>
      <c r="S296" s="4273">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3">
        <f t="shared" si="61"/>
        <v>0</v>
      </c>
      <c r="S297" s="4273">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3">
        <f t="shared" si="61"/>
        <v>0</v>
      </c>
      <c r="S298" s="4273">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3">
        <f t="shared" si="61"/>
        <v>0</v>
      </c>
      <c r="S299" s="4273">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3">
        <f t="shared" si="61"/>
        <v>0</v>
      </c>
      <c r="S300" s="4273">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3">
        <f t="shared" si="61"/>
        <v>0</v>
      </c>
      <c r="S301" s="4273">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3">
        <f t="shared" si="61"/>
        <v>0</v>
      </c>
      <c r="S302" s="4273">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3">
        <f t="shared" si="61"/>
        <v>0</v>
      </c>
      <c r="S303" s="4273">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3">
        <f t="shared" si="61"/>
        <v>0</v>
      </c>
      <c r="S304" s="4273">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3">
        <f t="shared" si="61"/>
        <v>0</v>
      </c>
      <c r="S305" s="4273">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3">
        <f t="shared" si="61"/>
        <v>0</v>
      </c>
      <c r="S306" s="4273">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3">
        <f t="shared" si="61"/>
        <v>0</v>
      </c>
      <c r="S307" s="4273">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3">
        <f t="shared" si="61"/>
        <v>0</v>
      </c>
      <c r="S308" s="4273">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3">
        <f t="shared" si="61"/>
        <v>0</v>
      </c>
      <c r="S309" s="4273">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3">
        <f t="shared" si="61"/>
        <v>0</v>
      </c>
      <c r="S310" s="4273">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3">
        <f t="shared" si="61"/>
        <v>0</v>
      </c>
      <c r="S311" s="4273">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3">
        <f t="shared" si="61"/>
        <v>0</v>
      </c>
      <c r="S312" s="4273">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3">
        <f t="shared" si="61"/>
        <v>0</v>
      </c>
      <c r="S313" s="4273">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3">
        <f t="shared" si="61"/>
        <v>0</v>
      </c>
      <c r="S314" s="4273">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3">
        <f t="shared" si="61"/>
        <v>0</v>
      </c>
      <c r="S315" s="4273">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3">
        <f t="shared" si="61"/>
        <v>0</v>
      </c>
      <c r="S316" s="4273">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3">
        <f t="shared" si="61"/>
        <v>0</v>
      </c>
      <c r="S317" s="4273">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3">
        <f t="shared" si="61"/>
        <v>0</v>
      </c>
      <c r="S318" s="4273">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3">
        <f t="shared" si="61"/>
        <v>0</v>
      </c>
      <c r="S319" s="4273">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3">
        <f t="shared" si="61"/>
        <v>0</v>
      </c>
      <c r="S320" s="4273">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3">
        <f t="shared" si="61"/>
        <v>0</v>
      </c>
      <c r="S321" s="4273">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3">
        <f t="shared" si="61"/>
        <v>0</v>
      </c>
      <c r="S322" s="4273">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3">
        <f t="shared" si="61"/>
        <v>0</v>
      </c>
      <c r="S323" s="4273">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3">
        <f t="shared" si="61"/>
        <v>0</v>
      </c>
      <c r="S324" s="4273">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3">
        <f t="shared" si="61"/>
        <v>0</v>
      </c>
      <c r="S325" s="4273">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3">
        <f t="shared" si="61"/>
        <v>0</v>
      </c>
      <c r="S326" s="4273">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3">
        <f t="shared" si="61"/>
        <v>0</v>
      </c>
      <c r="S327" s="4273">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3">
        <f t="shared" si="61"/>
        <v>0</v>
      </c>
      <c r="S328" s="4273">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3">
        <f t="shared" si="61"/>
        <v>0</v>
      </c>
      <c r="S329" s="4273">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3">
        <f t="shared" si="61"/>
        <v>0</v>
      </c>
      <c r="S330" s="4273">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3">
        <f t="shared" si="61"/>
        <v>0</v>
      </c>
      <c r="S331" s="4273">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3">
        <f t="shared" si="61"/>
        <v>0</v>
      </c>
      <c r="S332" s="4273">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3">
        <f t="shared" si="61"/>
        <v>0</v>
      </c>
      <c r="S333" s="4273">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3">
        <f t="shared" si="61"/>
        <v>0</v>
      </c>
      <c r="S334" s="4273">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3">
        <f t="shared" si="61"/>
        <v>0</v>
      </c>
      <c r="S335" s="4273">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3">
        <f t="shared" si="61"/>
        <v>0</v>
      </c>
      <c r="S336" s="4273">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3">
        <f t="shared" si="61"/>
        <v>0</v>
      </c>
      <c r="S337" s="4273">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3">
        <f t="shared" si="61"/>
        <v>0</v>
      </c>
      <c r="S338" s="4273">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3">
        <f t="shared" si="61"/>
        <v>0</v>
      </c>
      <c r="S339" s="4273">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3">
        <f t="shared" si="61"/>
        <v>0</v>
      </c>
      <c r="S340" s="4273">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3">
        <f t="shared" si="61"/>
        <v>0</v>
      </c>
      <c r="S341" s="4273">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3">
        <f t="shared" si="61"/>
        <v>0</v>
      </c>
      <c r="S342" s="4273">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3">
        <f t="shared" si="61"/>
        <v>0</v>
      </c>
      <c r="S343" s="4273">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3">
        <f t="shared" si="61"/>
        <v>0</v>
      </c>
      <c r="S344" s="4273">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3">
        <f t="shared" si="61"/>
        <v>0</v>
      </c>
      <c r="S345" s="4273">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3">
        <f t="shared" ref="R346:R409" si="72">IF(B346="",0,ROUND($R$24*C346*E346*G346*I346*K346*M346*O346*Q346,0))</f>
        <v>0</v>
      </c>
      <c r="S346" s="4273">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3">
        <f t="shared" si="72"/>
        <v>0</v>
      </c>
      <c r="S347" s="4273">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3">
        <f t="shared" si="72"/>
        <v>0</v>
      </c>
      <c r="S348" s="4273">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3">
        <f t="shared" si="72"/>
        <v>0</v>
      </c>
      <c r="S349" s="4273">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3">
        <f t="shared" si="72"/>
        <v>0</v>
      </c>
      <c r="S350" s="4273">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3">
        <f t="shared" si="72"/>
        <v>0</v>
      </c>
      <c r="S351" s="4273">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3">
        <f t="shared" si="72"/>
        <v>0</v>
      </c>
      <c r="S352" s="4273">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3">
        <f t="shared" si="72"/>
        <v>0</v>
      </c>
      <c r="S353" s="4273">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3">
        <f t="shared" si="72"/>
        <v>0</v>
      </c>
      <c r="S354" s="4273">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3">
        <f t="shared" si="72"/>
        <v>0</v>
      </c>
      <c r="S355" s="4273">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3">
        <f t="shared" si="72"/>
        <v>0</v>
      </c>
      <c r="S356" s="4273">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3">
        <f t="shared" si="72"/>
        <v>0</v>
      </c>
      <c r="S357" s="4273">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3">
        <f t="shared" si="72"/>
        <v>0</v>
      </c>
      <c r="S358" s="4273">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3">
        <f t="shared" si="72"/>
        <v>0</v>
      </c>
      <c r="S359" s="4273">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3">
        <f t="shared" si="72"/>
        <v>0</v>
      </c>
      <c r="S360" s="4273">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3">
        <f t="shared" si="72"/>
        <v>0</v>
      </c>
      <c r="S361" s="4273">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3">
        <f t="shared" si="72"/>
        <v>0</v>
      </c>
      <c r="S362" s="4273">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3">
        <f t="shared" si="72"/>
        <v>0</v>
      </c>
      <c r="S363" s="4273">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3">
        <f t="shared" si="72"/>
        <v>0</v>
      </c>
      <c r="S364" s="4273">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3">
        <f t="shared" si="72"/>
        <v>0</v>
      </c>
      <c r="S365" s="4273">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3">
        <f t="shared" si="72"/>
        <v>0</v>
      </c>
      <c r="S366" s="4273">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3">
        <f t="shared" si="72"/>
        <v>0</v>
      </c>
      <c r="S367" s="4273">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3">
        <f t="shared" si="72"/>
        <v>0</v>
      </c>
      <c r="S368" s="4273">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3">
        <f t="shared" si="72"/>
        <v>0</v>
      </c>
      <c r="S369" s="4273">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3">
        <f t="shared" si="72"/>
        <v>0</v>
      </c>
      <c r="S370" s="4273">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3">
        <f t="shared" si="72"/>
        <v>0</v>
      </c>
      <c r="S371" s="4273">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3">
        <f t="shared" si="72"/>
        <v>0</v>
      </c>
      <c r="S372" s="4273">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3">
        <f t="shared" si="72"/>
        <v>0</v>
      </c>
      <c r="S373" s="4273">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3">
        <f t="shared" si="72"/>
        <v>0</v>
      </c>
      <c r="S374" s="4273">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3">
        <f t="shared" si="72"/>
        <v>0</v>
      </c>
      <c r="S375" s="4273">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3">
        <f t="shared" si="72"/>
        <v>0</v>
      </c>
      <c r="S376" s="4273">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3">
        <f t="shared" si="72"/>
        <v>0</v>
      </c>
      <c r="S377" s="4273">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3">
        <f t="shared" si="72"/>
        <v>0</v>
      </c>
      <c r="S378" s="4273">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3">
        <f t="shared" si="72"/>
        <v>0</v>
      </c>
      <c r="S379" s="4273">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3">
        <f t="shared" si="72"/>
        <v>0</v>
      </c>
      <c r="S380" s="4273">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3">
        <f t="shared" si="72"/>
        <v>0</v>
      </c>
      <c r="S381" s="4273">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3">
        <f t="shared" si="72"/>
        <v>0</v>
      </c>
      <c r="S382" s="4273">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3">
        <f t="shared" si="72"/>
        <v>0</v>
      </c>
      <c r="S383" s="4273">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3">
        <f t="shared" si="72"/>
        <v>0</v>
      </c>
      <c r="S384" s="4273">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3">
        <f t="shared" si="72"/>
        <v>0</v>
      </c>
      <c r="S385" s="4273">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3">
        <f t="shared" si="72"/>
        <v>0</v>
      </c>
      <c r="S386" s="4273">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3">
        <f t="shared" si="72"/>
        <v>0</v>
      </c>
      <c r="S387" s="4273">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3">
        <f t="shared" si="72"/>
        <v>0</v>
      </c>
      <c r="S388" s="4273">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3">
        <f t="shared" si="72"/>
        <v>0</v>
      </c>
      <c r="S389" s="4273">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3">
        <f t="shared" si="72"/>
        <v>0</v>
      </c>
      <c r="S390" s="4273">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3">
        <f t="shared" si="72"/>
        <v>0</v>
      </c>
      <c r="S391" s="4273">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3">
        <f t="shared" si="72"/>
        <v>0</v>
      </c>
      <c r="S392" s="4273">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3">
        <f t="shared" si="72"/>
        <v>0</v>
      </c>
      <c r="S393" s="4273">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3">
        <f t="shared" si="72"/>
        <v>0</v>
      </c>
      <c r="S394" s="4273">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3">
        <f t="shared" si="72"/>
        <v>0</v>
      </c>
      <c r="S395" s="4273">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3">
        <f t="shared" si="72"/>
        <v>0</v>
      </c>
      <c r="S396" s="4273">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3">
        <f t="shared" si="72"/>
        <v>0</v>
      </c>
      <c r="S397" s="4273">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3">
        <f t="shared" si="72"/>
        <v>0</v>
      </c>
      <c r="S398" s="4273">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3">
        <f t="shared" si="72"/>
        <v>0</v>
      </c>
      <c r="S399" s="4273">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3">
        <f t="shared" si="72"/>
        <v>0</v>
      </c>
      <c r="S400" s="4273">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3">
        <f t="shared" si="72"/>
        <v>0</v>
      </c>
      <c r="S401" s="4273">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3">
        <f t="shared" si="72"/>
        <v>0</v>
      </c>
      <c r="S402" s="4273">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3">
        <f t="shared" si="72"/>
        <v>0</v>
      </c>
      <c r="S403" s="4273">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3">
        <f t="shared" si="72"/>
        <v>0</v>
      </c>
      <c r="S404" s="4273">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3">
        <f t="shared" si="72"/>
        <v>0</v>
      </c>
      <c r="S405" s="4273">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3">
        <f t="shared" si="72"/>
        <v>0</v>
      </c>
      <c r="S406" s="4273">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3">
        <f t="shared" si="72"/>
        <v>0</v>
      </c>
      <c r="S407" s="4273">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3">
        <f t="shared" si="72"/>
        <v>0</v>
      </c>
      <c r="S408" s="4273">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3">
        <f t="shared" si="72"/>
        <v>0</v>
      </c>
      <c r="S409" s="4273">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3">
        <f t="shared" ref="R410:R473" si="82">IF(B410="",0,ROUND($R$24*C410*E410*G410*I410*K410*M410*O410*Q410,0))</f>
        <v>0</v>
      </c>
      <c r="S410" s="4273">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3">
        <f t="shared" si="82"/>
        <v>0</v>
      </c>
      <c r="S411" s="4273">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3">
        <f t="shared" si="82"/>
        <v>0</v>
      </c>
      <c r="S412" s="4273">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3">
        <f t="shared" si="82"/>
        <v>0</v>
      </c>
      <c r="S413" s="4273">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3">
        <f t="shared" si="82"/>
        <v>0</v>
      </c>
      <c r="S414" s="4273">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3">
        <f t="shared" si="82"/>
        <v>0</v>
      </c>
      <c r="S415" s="4273">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3">
        <f t="shared" si="82"/>
        <v>0</v>
      </c>
      <c r="S416" s="4273">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3">
        <f t="shared" si="82"/>
        <v>0</v>
      </c>
      <c r="S417" s="4273">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3">
        <f t="shared" si="82"/>
        <v>0</v>
      </c>
      <c r="S418" s="4273">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3">
        <f t="shared" si="82"/>
        <v>0</v>
      </c>
      <c r="S419" s="4273">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3">
        <f t="shared" si="82"/>
        <v>0</v>
      </c>
      <c r="S420" s="4273">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3">
        <f t="shared" si="82"/>
        <v>0</v>
      </c>
      <c r="S421" s="4273">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3">
        <f t="shared" si="82"/>
        <v>0</v>
      </c>
      <c r="S422" s="4273">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3">
        <f t="shared" si="82"/>
        <v>0</v>
      </c>
      <c r="S423" s="4273">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3">
        <f t="shared" si="82"/>
        <v>0</v>
      </c>
      <c r="S424" s="4273">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3">
        <f t="shared" si="82"/>
        <v>0</v>
      </c>
      <c r="S425" s="4273">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3">
        <f t="shared" si="82"/>
        <v>0</v>
      </c>
      <c r="S426" s="4273">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3">
        <f t="shared" si="82"/>
        <v>0</v>
      </c>
      <c r="S427" s="4273">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3">
        <f t="shared" si="82"/>
        <v>0</v>
      </c>
      <c r="S428" s="4273">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3">
        <f t="shared" si="82"/>
        <v>0</v>
      </c>
      <c r="S429" s="4273">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3">
        <f t="shared" si="82"/>
        <v>0</v>
      </c>
      <c r="S430" s="4273">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3">
        <f t="shared" si="82"/>
        <v>0</v>
      </c>
      <c r="S431" s="4273">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3">
        <f t="shared" si="82"/>
        <v>0</v>
      </c>
      <c r="S432" s="4273">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3">
        <f t="shared" si="82"/>
        <v>0</v>
      </c>
      <c r="S433" s="4273">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3">
        <f t="shared" si="82"/>
        <v>0</v>
      </c>
      <c r="S434" s="4273">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3">
        <f t="shared" si="82"/>
        <v>0</v>
      </c>
      <c r="S435" s="4273">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3">
        <f t="shared" si="82"/>
        <v>0</v>
      </c>
      <c r="S436" s="4273">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3">
        <f t="shared" si="82"/>
        <v>0</v>
      </c>
      <c r="S437" s="4273">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3">
        <f t="shared" si="82"/>
        <v>0</v>
      </c>
      <c r="S438" s="4273">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3">
        <f t="shared" si="82"/>
        <v>0</v>
      </c>
      <c r="S439" s="4273">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3">
        <f t="shared" si="82"/>
        <v>0</v>
      </c>
      <c r="S440" s="4273">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3">
        <f t="shared" si="82"/>
        <v>0</v>
      </c>
      <c r="S441" s="4273">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3">
        <f t="shared" si="82"/>
        <v>0</v>
      </c>
      <c r="S442" s="4273">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3">
        <f t="shared" si="82"/>
        <v>0</v>
      </c>
      <c r="S443" s="4273">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3">
        <f t="shared" si="82"/>
        <v>0</v>
      </c>
      <c r="S444" s="4273">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3">
        <f t="shared" si="82"/>
        <v>0</v>
      </c>
      <c r="S445" s="4273">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3">
        <f t="shared" si="82"/>
        <v>0</v>
      </c>
      <c r="S446" s="4273">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3">
        <f t="shared" si="82"/>
        <v>0</v>
      </c>
      <c r="S447" s="4273">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3">
        <f t="shared" si="82"/>
        <v>0</v>
      </c>
      <c r="S448" s="4273">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3">
        <f t="shared" si="82"/>
        <v>0</v>
      </c>
      <c r="S449" s="4273">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3">
        <f t="shared" si="82"/>
        <v>0</v>
      </c>
      <c r="S450" s="4273">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3">
        <f t="shared" si="82"/>
        <v>0</v>
      </c>
      <c r="S451" s="4273">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3">
        <f t="shared" si="82"/>
        <v>0</v>
      </c>
      <c r="S452" s="4273">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3">
        <f t="shared" si="82"/>
        <v>0</v>
      </c>
      <c r="S453" s="4273">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3">
        <f t="shared" si="82"/>
        <v>0</v>
      </c>
      <c r="S454" s="4273">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3">
        <f t="shared" si="82"/>
        <v>0</v>
      </c>
      <c r="S455" s="4273">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3">
        <f t="shared" si="82"/>
        <v>0</v>
      </c>
      <c r="S456" s="4273">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3">
        <f t="shared" si="82"/>
        <v>0</v>
      </c>
      <c r="S457" s="4273">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3">
        <f t="shared" si="82"/>
        <v>0</v>
      </c>
      <c r="S458" s="4273">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3">
        <f t="shared" si="82"/>
        <v>0</v>
      </c>
      <c r="S459" s="4273">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3">
        <f t="shared" si="82"/>
        <v>0</v>
      </c>
      <c r="S460" s="4273">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3">
        <f t="shared" si="82"/>
        <v>0</v>
      </c>
      <c r="S461" s="4273">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3">
        <f t="shared" si="82"/>
        <v>0</v>
      </c>
      <c r="S462" s="4273">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3">
        <f t="shared" si="82"/>
        <v>0</v>
      </c>
      <c r="S463" s="4273">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3">
        <f t="shared" si="82"/>
        <v>0</v>
      </c>
      <c r="S464" s="4273">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3">
        <f t="shared" si="82"/>
        <v>0</v>
      </c>
      <c r="S465" s="4273">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3">
        <f t="shared" si="82"/>
        <v>0</v>
      </c>
      <c r="S466" s="4273">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3">
        <f t="shared" si="82"/>
        <v>0</v>
      </c>
      <c r="S467" s="4273">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3">
        <f t="shared" si="82"/>
        <v>0</v>
      </c>
      <c r="S468" s="4273">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3">
        <f t="shared" si="82"/>
        <v>0</v>
      </c>
      <c r="S469" s="4273">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3">
        <f t="shared" si="82"/>
        <v>0</v>
      </c>
      <c r="S470" s="4273">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3">
        <f t="shared" si="82"/>
        <v>0</v>
      </c>
      <c r="S471" s="4273">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3">
        <f t="shared" si="82"/>
        <v>0</v>
      </c>
      <c r="S472" s="4273">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3">
        <f t="shared" si="82"/>
        <v>0</v>
      </c>
      <c r="S473" s="4273">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3">
        <f t="shared" ref="R474:R524" si="93">IF(B474="",0,ROUND($R$24*C474*E474*G474*I474*K474*M474*O474*Q474,0))</f>
        <v>0</v>
      </c>
      <c r="S474" s="4273">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3">
        <f t="shared" si="93"/>
        <v>0</v>
      </c>
      <c r="S475" s="4273">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3">
        <f t="shared" si="93"/>
        <v>0</v>
      </c>
      <c r="S476" s="4273">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3">
        <f t="shared" si="93"/>
        <v>0</v>
      </c>
      <c r="S477" s="4273">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3">
        <f t="shared" si="93"/>
        <v>0</v>
      </c>
      <c r="S478" s="4273">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3">
        <f t="shared" si="93"/>
        <v>0</v>
      </c>
      <c r="S479" s="4273">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3">
        <f t="shared" si="93"/>
        <v>0</v>
      </c>
      <c r="S480" s="4273">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3">
        <f t="shared" si="93"/>
        <v>0</v>
      </c>
      <c r="S481" s="4273">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3">
        <f t="shared" si="93"/>
        <v>0</v>
      </c>
      <c r="S482" s="4273">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3">
        <f t="shared" si="93"/>
        <v>0</v>
      </c>
      <c r="S483" s="4273">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3">
        <f t="shared" si="93"/>
        <v>0</v>
      </c>
      <c r="S484" s="4273">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3">
        <f t="shared" si="93"/>
        <v>0</v>
      </c>
      <c r="S485" s="4273">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3">
        <f t="shared" si="93"/>
        <v>0</v>
      </c>
      <c r="S486" s="4273">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3">
        <f t="shared" si="93"/>
        <v>0</v>
      </c>
      <c r="S487" s="4273">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3">
        <f t="shared" si="93"/>
        <v>0</v>
      </c>
      <c r="S488" s="4273">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3">
        <f t="shared" si="93"/>
        <v>0</v>
      </c>
      <c r="S489" s="4273">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3">
        <f t="shared" si="93"/>
        <v>0</v>
      </c>
      <c r="S490" s="4273">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3">
        <f t="shared" si="93"/>
        <v>0</v>
      </c>
      <c r="S491" s="4273">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3">
        <f t="shared" si="93"/>
        <v>0</v>
      </c>
      <c r="S492" s="4273">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3">
        <f t="shared" si="93"/>
        <v>0</v>
      </c>
      <c r="S493" s="4273">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3">
        <f t="shared" si="93"/>
        <v>0</v>
      </c>
      <c r="S494" s="4273">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3">
        <f t="shared" si="93"/>
        <v>0</v>
      </c>
      <c r="S495" s="4273">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3">
        <f t="shared" si="93"/>
        <v>0</v>
      </c>
      <c r="S496" s="4273">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3">
        <f t="shared" si="93"/>
        <v>0</v>
      </c>
      <c r="S497" s="4273">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3">
        <f t="shared" si="93"/>
        <v>0</v>
      </c>
      <c r="S498" s="4273">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3">
        <f t="shared" si="93"/>
        <v>0</v>
      </c>
      <c r="S499" s="4273">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3">
        <f t="shared" si="93"/>
        <v>0</v>
      </c>
      <c r="S500" s="4273">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3">
        <f t="shared" si="93"/>
        <v>0</v>
      </c>
      <c r="S501" s="4273">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3">
        <f t="shared" si="93"/>
        <v>0</v>
      </c>
      <c r="S502" s="4273">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3">
        <f t="shared" si="93"/>
        <v>0</v>
      </c>
      <c r="S503" s="4273">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3">
        <f t="shared" si="93"/>
        <v>0</v>
      </c>
      <c r="S504" s="4273">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3">
        <f t="shared" si="93"/>
        <v>0</v>
      </c>
      <c r="S505" s="4273">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3">
        <f t="shared" si="93"/>
        <v>0</v>
      </c>
      <c r="S506" s="4273">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3">
        <f t="shared" si="93"/>
        <v>0</v>
      </c>
      <c r="S507" s="4273">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3">
        <f t="shared" si="93"/>
        <v>0</v>
      </c>
      <c r="S508" s="4273">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3">
        <f t="shared" si="93"/>
        <v>0</v>
      </c>
      <c r="S509" s="4273">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3">
        <f t="shared" si="93"/>
        <v>0</v>
      </c>
      <c r="S510" s="4273">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3">
        <f t="shared" si="93"/>
        <v>0</v>
      </c>
      <c r="S511" s="4273">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3">
        <f t="shared" si="93"/>
        <v>0</v>
      </c>
      <c r="S512" s="4273">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3">
        <f t="shared" si="93"/>
        <v>0</v>
      </c>
      <c r="S513" s="4273">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3">
        <f t="shared" si="93"/>
        <v>0</v>
      </c>
      <c r="S514" s="4273">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3">
        <f t="shared" si="93"/>
        <v>0</v>
      </c>
      <c r="S515" s="4273">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3">
        <f t="shared" si="93"/>
        <v>0</v>
      </c>
      <c r="S516" s="4273">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3">
        <f t="shared" si="93"/>
        <v>0</v>
      </c>
      <c r="S517" s="4273">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3">
        <f t="shared" si="93"/>
        <v>0</v>
      </c>
      <c r="S518" s="4273">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3">
        <f t="shared" si="93"/>
        <v>0</v>
      </c>
      <c r="S519" s="4273">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3">
        <f t="shared" si="93"/>
        <v>0</v>
      </c>
      <c r="S520" s="4273">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3">
        <f t="shared" si="93"/>
        <v>0</v>
      </c>
      <c r="S521" s="4273">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3">
        <f t="shared" si="93"/>
        <v>0</v>
      </c>
      <c r="S522" s="4273">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3">
        <f t="shared" si="93"/>
        <v>0</v>
      </c>
      <c r="S523" s="4273">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3">
        <f t="shared" si="93"/>
        <v>0</v>
      </c>
      <c r="S524" s="42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4">
        <f>IF(C2="含税",D2,ROUND(D2/(1+F3),0))</f>
        <v>0</v>
      </c>
      <c r="C2" s="3161"/>
      <c r="D2" s="4275" t="b">
        <f>IF(E1="项目模式",IF(E2="——",ROUND(C49*D3/10000,0),ROUND(C49*D3/10000,0)-F2),IF(E1="单套模式",IF(E2="——",ROUND(C49*D3/10000,4),ROUND(C49*D3/10000,4)-F2)))</f>
        <v>0</v>
      </c>
      <c r="E2" s="3172"/>
      <c r="F2" s="4276"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1">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70" t="s">
        <v>1585</v>
      </c>
      <c r="D4" s="4771"/>
      <c r="E4" s="4772" t="s">
        <v>1586</v>
      </c>
      <c r="F4" s="4773"/>
      <c r="G4" s="4770" t="s">
        <v>1587</v>
      </c>
      <c r="H4" s="4771"/>
      <c r="I4" s="4770" t="s">
        <v>1588</v>
      </c>
      <c r="J4" s="4771"/>
      <c r="K4" s="3190" t="s">
        <v>1589</v>
      </c>
      <c r="L4" s="2196"/>
      <c r="M4" s="2197"/>
      <c r="N4" s="2197"/>
      <c r="O4" s="2197"/>
      <c r="P4" s="4774" t="s">
        <v>1590</v>
      </c>
      <c r="Q4" s="4775"/>
      <c r="R4" s="4780" t="s">
        <v>1586</v>
      </c>
      <c r="S4" s="4781"/>
      <c r="T4" s="4780" t="s">
        <v>1587</v>
      </c>
      <c r="U4" s="4781"/>
      <c r="V4" s="4786" t="s">
        <v>1588</v>
      </c>
      <c r="W4" s="4786"/>
      <c r="X4" s="1002"/>
      <c r="Y4" s="4795" t="s">
        <v>1590</v>
      </c>
      <c r="Z4" s="4796"/>
      <c r="AA4" s="4767" t="s">
        <v>1586</v>
      </c>
      <c r="AB4" s="4767" t="s">
        <v>1587</v>
      </c>
      <c r="AC4" s="4767" t="s">
        <v>1588</v>
      </c>
    </row>
    <row r="5" spans="1:29" ht="15">
      <c r="A5" s="245"/>
      <c r="B5" s="246"/>
      <c r="C5" s="4789" t="s">
        <v>1591</v>
      </c>
      <c r="D5" s="4790"/>
      <c r="E5" s="4804" t="s">
        <v>1592</v>
      </c>
      <c r="F5" s="4805"/>
      <c r="G5" s="4789" t="s">
        <v>1593</v>
      </c>
      <c r="H5" s="4790"/>
      <c r="I5" s="4789" t="s">
        <v>1594</v>
      </c>
      <c r="J5" s="4790"/>
      <c r="K5" s="3191"/>
      <c r="L5" s="2196"/>
      <c r="M5" s="2197"/>
      <c r="N5" s="2197"/>
      <c r="O5" s="2197"/>
      <c r="P5" s="4776"/>
      <c r="Q5" s="4777"/>
      <c r="R5" s="4782"/>
      <c r="S5" s="4783"/>
      <c r="T5" s="4782"/>
      <c r="U5" s="4783"/>
      <c r="V5" s="4786"/>
      <c r="W5" s="4786"/>
      <c r="X5" s="1002"/>
      <c r="Y5" s="4797"/>
      <c r="Z5" s="4798"/>
      <c r="AA5" s="4768"/>
      <c r="AB5" s="4768"/>
      <c r="AC5" s="4768"/>
    </row>
    <row r="6" spans="1:29" ht="15.75" thickBot="1">
      <c r="A6" s="247"/>
      <c r="B6" s="248"/>
      <c r="C6" s="4787" t="s">
        <v>1595</v>
      </c>
      <c r="D6" s="4788"/>
      <c r="E6" s="4802" t="s">
        <v>1595</v>
      </c>
      <c r="F6" s="4803"/>
      <c r="G6" s="4787" t="s">
        <v>1595</v>
      </c>
      <c r="H6" s="4788"/>
      <c r="I6" s="4787" t="s">
        <v>1595</v>
      </c>
      <c r="J6" s="4788"/>
      <c r="K6" s="3191" t="s">
        <v>1596</v>
      </c>
      <c r="L6" s="2196"/>
      <c r="M6" s="2197"/>
      <c r="N6" s="2197"/>
      <c r="O6" s="2197"/>
      <c r="P6" s="4778"/>
      <c r="Q6" s="4779"/>
      <c r="R6" s="4782"/>
      <c r="S6" s="4783"/>
      <c r="T6" s="4784"/>
      <c r="U6" s="4785"/>
      <c r="V6" s="4786"/>
      <c r="W6" s="4786"/>
      <c r="X6" s="1002"/>
      <c r="Y6" s="4799"/>
      <c r="Z6" s="4800"/>
      <c r="AA6" s="4769"/>
      <c r="AB6" s="4769"/>
      <c r="AC6" s="4769"/>
    </row>
    <row r="7" spans="1:29" s="49" customFormat="1" ht="15.75" thickBot="1">
      <c r="A7" s="249" t="s">
        <v>1597</v>
      </c>
      <c r="B7" s="250"/>
      <c r="C7" s="3192">
        <f>'数据-取费表'!B2</f>
        <v>46041</v>
      </c>
      <c r="D7" s="3268">
        <v>100</v>
      </c>
      <c r="E7" s="3222"/>
      <c r="F7" s="4277">
        <f>SUMIF(58:58,YEAR(E7)&amp;"-"&amp;MONTH(E7),59:59)</f>
        <v>0</v>
      </c>
      <c r="G7" s="3222"/>
      <c r="H7" s="4289">
        <f>SUMIF(58:58,YEAR(G7)&amp;"-"&amp;MONTH(G7),59:59)</f>
        <v>0</v>
      </c>
      <c r="I7" s="3222"/>
      <c r="J7" s="4289">
        <f>SUMIF(58:58,YEAR(I7)&amp;"-"&amp;MONTH(I7),59:59)</f>
        <v>0</v>
      </c>
      <c r="K7" s="3183"/>
      <c r="L7" s="2198"/>
      <c r="M7" s="2199"/>
      <c r="N7" s="2199"/>
      <c r="O7" s="2199"/>
      <c r="P7" s="4791" t="s">
        <v>1598</v>
      </c>
      <c r="Q7" s="4801"/>
      <c r="R7" s="4170" t="s">
        <v>18</v>
      </c>
      <c r="S7" s="3600">
        <f t="shared" ref="S7:S15" si="0">F7</f>
        <v>0</v>
      </c>
      <c r="T7" s="4170" t="s">
        <v>18</v>
      </c>
      <c r="U7" s="3600">
        <f t="shared" ref="U7:U15" si="1">H7</f>
        <v>0</v>
      </c>
      <c r="V7" s="4170" t="s">
        <v>18</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3193"/>
      <c r="D8" s="3268">
        <v>100</v>
      </c>
      <c r="E8" s="3247"/>
      <c r="F8" s="4277">
        <f>SUMIF(61:61,E8,62:62)-SUMIF(61:61,C8,62:62)+100</f>
        <v>100</v>
      </c>
      <c r="G8" s="3193"/>
      <c r="H8" s="4289">
        <f>SUMIF(61:61,G8,62:62)-SUMIF(61:61,C8,62:62)+100</f>
        <v>100</v>
      </c>
      <c r="I8" s="3247"/>
      <c r="J8" s="4289">
        <f>SUMIF(61:61,I8,62:62)-SUMIF(61:61,C8,62:62)+100</f>
        <v>100</v>
      </c>
      <c r="K8" s="3183"/>
      <c r="L8" s="2198"/>
      <c r="M8" s="2199"/>
      <c r="N8" s="2199"/>
      <c r="O8" s="2199"/>
      <c r="P8" s="4791" t="s">
        <v>1601</v>
      </c>
      <c r="Q8" s="4792"/>
      <c r="R8" s="4170" t="s">
        <v>18</v>
      </c>
      <c r="S8" s="3600">
        <f t="shared" si="0"/>
        <v>100</v>
      </c>
      <c r="T8" s="4170" t="s">
        <v>18</v>
      </c>
      <c r="U8" s="3600">
        <f t="shared" si="1"/>
        <v>100</v>
      </c>
      <c r="V8" s="4170" t="s">
        <v>18</v>
      </c>
      <c r="W8" s="3600">
        <f t="shared" si="2"/>
        <v>100</v>
      </c>
      <c r="X8" s="515"/>
      <c r="Y8" s="4793" t="s">
        <v>1601</v>
      </c>
      <c r="Z8" s="4794"/>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78">
        <f>SUMIF(63:63,E9,64:64)-SUMIF(63:63,C9,64:64)+100</f>
        <v>100</v>
      </c>
      <c r="G9" s="3252"/>
      <c r="H9" s="4290">
        <f>SUMIF(63:63,G9,64:64)-SUMIF(63:63,C9,64:64)+100</f>
        <v>100</v>
      </c>
      <c r="I9" s="3252"/>
      <c r="J9" s="4290">
        <f>SUMIF(63:63,I9,64:64)-SUMIF(63:63,C9,64:64)+100</f>
        <v>100</v>
      </c>
      <c r="K9" s="3183"/>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183"/>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184"/>
      <c r="L11" s="2202"/>
      <c r="M11" s="2197"/>
      <c r="N11" s="2197"/>
      <c r="O11" s="2197"/>
      <c r="P11" s="4765"/>
      <c r="Q11" s="3166" t="str">
        <f t="shared" si="6"/>
        <v>容积率</v>
      </c>
      <c r="R11" s="4170" t="s">
        <v>16</v>
      </c>
      <c r="S11" s="3600" t="e">
        <f t="shared" si="0"/>
        <v>#N/A</v>
      </c>
      <c r="T11" s="4170" t="s">
        <v>16</v>
      </c>
      <c r="U11" s="3600" t="e">
        <f t="shared" si="1"/>
        <v>#N/A</v>
      </c>
      <c r="V11" s="4170" t="s">
        <v>16</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79">
        <f>SUMIF(70:70,E12,71:71)-SUMIF(70:70,C12,71:71)+100</f>
        <v>100</v>
      </c>
      <c r="G12" s="3197"/>
      <c r="H12" s="4291">
        <f>SUMIF(70:70,G12,71:71)-SUMIF(70:70,C12,71:71)+100</f>
        <v>100</v>
      </c>
      <c r="I12" s="3197"/>
      <c r="J12" s="4291">
        <f>SUMIF(70:70,I12,71:71)-SUMIF(70:70,C12,71:71)+100</f>
        <v>100</v>
      </c>
      <c r="K12" s="3185"/>
      <c r="L12" s="2198"/>
      <c r="M12" s="2199"/>
      <c r="N12" s="2199"/>
      <c r="O12" s="2199"/>
      <c r="P12" s="4765"/>
      <c r="Q12" s="3166">
        <f t="shared" si="6"/>
        <v>111</v>
      </c>
      <c r="R12" s="4170" t="s">
        <v>16</v>
      </c>
      <c r="S12" s="3600">
        <f t="shared" si="0"/>
        <v>100</v>
      </c>
      <c r="T12" s="4170" t="s">
        <v>16</v>
      </c>
      <c r="U12" s="3600">
        <f t="shared" si="1"/>
        <v>100</v>
      </c>
      <c r="V12" s="4170" t="s">
        <v>16</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185"/>
      <c r="L13" s="2203"/>
      <c r="M13" s="2197"/>
      <c r="N13" s="2197"/>
      <c r="O13" s="2197"/>
      <c r="P13" s="4765"/>
      <c r="Q13" s="3166">
        <f t="shared" si="6"/>
        <v>111</v>
      </c>
      <c r="R13" s="4170" t="s">
        <v>16</v>
      </c>
      <c r="S13" s="3600">
        <f t="shared" si="0"/>
        <v>100</v>
      </c>
      <c r="T13" s="4170" t="s">
        <v>16</v>
      </c>
      <c r="U13" s="3600">
        <f t="shared" si="1"/>
        <v>100</v>
      </c>
      <c r="V13" s="4170" t="s">
        <v>16</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9"/>
      <c r="F14" s="4280">
        <f>SUMIF(74:74,E14,75:75)-SUMIF(74:74,C14,75:75)+100</f>
        <v>100</v>
      </c>
      <c r="G14" s="3199"/>
      <c r="H14" s="4287">
        <f>SUMIF(74:74,G14,75:75)-SUMIF(74:74,C14,75:75)+100</f>
        <v>100</v>
      </c>
      <c r="I14" s="3199"/>
      <c r="J14" s="4287">
        <f>SUMIF(74:74,I14,75:75)-SUMIF(74:74,C14,75:75)+100</f>
        <v>100</v>
      </c>
      <c r="K14" s="3185"/>
      <c r="L14" s="2203"/>
      <c r="M14" s="2197"/>
      <c r="N14" s="2197"/>
      <c r="O14" s="2197"/>
      <c r="P14" s="4765"/>
      <c r="Q14" s="3166">
        <f t="shared" si="6"/>
        <v>111</v>
      </c>
      <c r="R14" s="4170" t="s">
        <v>16</v>
      </c>
      <c r="S14" s="3600">
        <f t="shared" si="0"/>
        <v>100</v>
      </c>
      <c r="T14" s="4170" t="s">
        <v>16</v>
      </c>
      <c r="U14" s="3600">
        <f t="shared" si="1"/>
        <v>100</v>
      </c>
      <c r="V14" s="4170" t="s">
        <v>16</v>
      </c>
      <c r="W14" s="3600">
        <f t="shared" si="2"/>
        <v>100</v>
      </c>
      <c r="X14" s="515"/>
      <c r="Y14" s="4766"/>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1">
        <f>SUMIF(76:76,E16,77:77)-SUMIF(76:76,C16,77:77)+100</f>
        <v>100</v>
      </c>
      <c r="G15" s="3226"/>
      <c r="H15" s="4281">
        <f>SUMIF(76:76,G16,77:77)-SUMIF(76:76,C16,77:77)+100</f>
        <v>100</v>
      </c>
      <c r="I15" s="3226"/>
      <c r="J15" s="4281">
        <f>SUMIF(76:76,I16,77:77)-SUMIF(76:76,C16,77:77)+100</f>
        <v>100</v>
      </c>
      <c r="K15" s="3186"/>
      <c r="L15" s="2203"/>
      <c r="M15" s="2197"/>
      <c r="N15" s="2197"/>
      <c r="O15" s="2197"/>
      <c r="P15" s="4763" t="s">
        <v>1609</v>
      </c>
      <c r="Q15" s="1657" t="str">
        <f t="shared" si="6"/>
        <v>居住社区成熟度</v>
      </c>
      <c r="R15" s="4295" t="s">
        <v>16</v>
      </c>
      <c r="S15" s="3601">
        <f t="shared" si="0"/>
        <v>100</v>
      </c>
      <c r="T15" s="4295" t="s">
        <v>16</v>
      </c>
      <c r="U15" s="3601">
        <f t="shared" si="1"/>
        <v>100</v>
      </c>
      <c r="V15" s="4295" t="s">
        <v>16</v>
      </c>
      <c r="W15" s="3601">
        <f t="shared" si="2"/>
        <v>100</v>
      </c>
      <c r="X15" s="1002"/>
      <c r="Y15" s="4756" t="s">
        <v>1609</v>
      </c>
      <c r="Z15" s="1003" t="str">
        <f t="shared" si="7"/>
        <v>居住社区成熟度</v>
      </c>
      <c r="AA15" s="1000">
        <f t="shared" si="3"/>
        <v>1</v>
      </c>
      <c r="AB15" s="1000">
        <f t="shared" si="4"/>
        <v>1</v>
      </c>
      <c r="AC15" s="1000">
        <f t="shared" si="5"/>
        <v>1</v>
      </c>
    </row>
    <row r="16" spans="1:29" ht="15">
      <c r="A16" s="261"/>
      <c r="B16" s="3177"/>
      <c r="C16" s="3201"/>
      <c r="D16" s="3275"/>
      <c r="E16" s="3236"/>
      <c r="F16" s="4282"/>
      <c r="G16" s="3230"/>
      <c r="H16" s="4283"/>
      <c r="I16" s="3230"/>
      <c r="J16" s="4282"/>
      <c r="K16" s="3187"/>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33"/>
      <c r="F17" s="4283">
        <f>SUMIF(78:78,E18,79:79)-SUMIF(78:78,C18,79:79)+100</f>
        <v>100</v>
      </c>
      <c r="G17" s="3227"/>
      <c r="H17" s="4284">
        <f>SUMIF(78:78,G18,79:79)-SUMIF(78:78,C18,79:79)+100</f>
        <v>100</v>
      </c>
      <c r="I17" s="3227"/>
      <c r="J17" s="4284">
        <f>SUMIF(78:78,I18,79:79)-SUMIF(78:78,C18,79:79)+100</f>
        <v>100</v>
      </c>
      <c r="K17" s="3186"/>
      <c r="L17" s="2203"/>
      <c r="M17" s="2197"/>
      <c r="N17" s="2197"/>
      <c r="O17" s="2197"/>
      <c r="P17" s="4764"/>
      <c r="Q17" s="1657" t="str">
        <f>B17</f>
        <v>交通便捷度</v>
      </c>
      <c r="R17" s="4295" t="s">
        <v>16</v>
      </c>
      <c r="S17" s="3601">
        <f>F17</f>
        <v>100</v>
      </c>
      <c r="T17" s="4295" t="s">
        <v>16</v>
      </c>
      <c r="U17" s="3601">
        <f>H17</f>
        <v>100</v>
      </c>
      <c r="V17" s="4295" t="s">
        <v>16</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34"/>
      <c r="F18" s="4283"/>
      <c r="G18" s="3228"/>
      <c r="H18" s="4282"/>
      <c r="I18" s="3228"/>
      <c r="J18" s="4282"/>
      <c r="K18" s="3187"/>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1242</v>
      </c>
      <c r="C19" s="3202">
        <f>估价对象房地状况!C7</f>
        <v>0</v>
      </c>
      <c r="D19" s="3277">
        <v>100</v>
      </c>
      <c r="E19" s="3235"/>
      <c r="F19" s="4284">
        <f>SUMIF(80:80,E20,81:81)-SUMIF(80:80,C20,81:81)+100</f>
        <v>100</v>
      </c>
      <c r="G19" s="3229"/>
      <c r="H19" s="4283">
        <f>SUMIF(80:80,G20,81:81)-SUMIF(80:80,C20,81:81)+100</f>
        <v>100</v>
      </c>
      <c r="I19" s="3229"/>
      <c r="J19" s="4283">
        <f>SUMIF(80:80,I20,81:81)-SUMIF(80:80,C20,81:81)+100</f>
        <v>100</v>
      </c>
      <c r="K19" s="3186"/>
      <c r="L19" s="2203"/>
      <c r="M19" s="2197"/>
      <c r="N19" s="2197"/>
      <c r="O19" s="2197"/>
      <c r="P19" s="4764"/>
      <c r="Q19" s="1657" t="str">
        <f>B19</f>
        <v>公共配套设施</v>
      </c>
      <c r="R19" s="4295" t="s">
        <v>16</v>
      </c>
      <c r="S19" s="3601">
        <f>F19</f>
        <v>100</v>
      </c>
      <c r="T19" s="4295" t="s">
        <v>16</v>
      </c>
      <c r="U19" s="3601">
        <f>H19</f>
        <v>100</v>
      </c>
      <c r="V19" s="4295" t="s">
        <v>16</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6"/>
      <c r="F20" s="4282"/>
      <c r="G20" s="3230"/>
      <c r="H20" s="4282"/>
      <c r="I20" s="3230"/>
      <c r="J20" s="4282"/>
      <c r="K20" s="3187"/>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1244</v>
      </c>
      <c r="C21" s="3202">
        <f>估价对象房地状况!C8</f>
        <v>0</v>
      </c>
      <c r="D21" s="3276">
        <v>100</v>
      </c>
      <c r="E21" s="3235"/>
      <c r="F21" s="4284">
        <f>SUMIF(82:82,E22,83:83)-SUMIF(82:82,C22,83:83)+100</f>
        <v>100</v>
      </c>
      <c r="G21" s="3229"/>
      <c r="H21" s="4283">
        <f>SUMIF(82:82,G22,83:83)-SUMIF(82:82,C22,83:83)+100</f>
        <v>100</v>
      </c>
      <c r="I21" s="3229"/>
      <c r="J21" s="4283">
        <f>SUMIF(82:82,I22,83:83)-SUMIF(82:82,C22,83:83)+100</f>
        <v>100</v>
      </c>
      <c r="K21" s="3186"/>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2"/>
      <c r="G22" s="3253"/>
      <c r="H22" s="4282"/>
      <c r="I22" s="3201"/>
      <c r="J22" s="4282"/>
      <c r="K22" s="3188"/>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02">
        <f>估价对象房地状况!C9</f>
        <v>0</v>
      </c>
      <c r="D23" s="3276">
        <v>100</v>
      </c>
      <c r="E23" s="3233"/>
      <c r="F23" s="4283">
        <f>SUMIF(84:84,E24,85:85)-SUMIF(84:84,C24,85:85)+100</f>
        <v>100</v>
      </c>
      <c r="G23" s="3227"/>
      <c r="H23" s="4283">
        <f>SUMIF(84:84,G24,85:85)-SUMIF(84:84,C24,85:85)+100</f>
        <v>100</v>
      </c>
      <c r="I23" s="3227"/>
      <c r="J23" s="4283">
        <f>SUMIF(84:84,I24,85:85)-SUMIF(84:84,C24,85:85)+100</f>
        <v>100</v>
      </c>
      <c r="K23" s="3186"/>
      <c r="L23" s="2203"/>
      <c r="M23" s="2197"/>
      <c r="N23" s="2197"/>
      <c r="O23" s="2197"/>
      <c r="P23" s="4764"/>
      <c r="Q23" s="1657" t="str">
        <f>B23</f>
        <v>自然及人文环境</v>
      </c>
      <c r="R23" s="4295" t="s">
        <v>16</v>
      </c>
      <c r="S23" s="3601">
        <f>F23</f>
        <v>100</v>
      </c>
      <c r="T23" s="4295" t="s">
        <v>16</v>
      </c>
      <c r="U23" s="3601">
        <f>H23</f>
        <v>100</v>
      </c>
      <c r="V23" s="4295" t="s">
        <v>16</v>
      </c>
      <c r="W23" s="3601">
        <f>J23</f>
        <v>100</v>
      </c>
      <c r="X23" s="1002"/>
      <c r="Y23" s="4757"/>
      <c r="Z23" s="1003" t="str">
        <f>Q23</f>
        <v>自然及人文环境</v>
      </c>
      <c r="AA23" s="1000">
        <f>D23/F23</f>
        <v>1</v>
      </c>
      <c r="AB23" s="1000">
        <f>D23/H23</f>
        <v>1</v>
      </c>
      <c r="AC23" s="1000">
        <f>D23/J23</f>
        <v>1</v>
      </c>
    </row>
    <row r="24" spans="1:29" ht="15">
      <c r="A24" s="261"/>
      <c r="B24" s="3179"/>
      <c r="C24" s="3201"/>
      <c r="D24" s="3275"/>
      <c r="E24" s="3236"/>
      <c r="F24" s="4282"/>
      <c r="G24" s="3230"/>
      <c r="H24" s="4282"/>
      <c r="I24" s="3230"/>
      <c r="J24" s="4282"/>
      <c r="K24" s="3187"/>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1610</v>
      </c>
      <c r="C25" s="3204"/>
      <c r="D25" s="3272">
        <v>100</v>
      </c>
      <c r="E25" s="3208"/>
      <c r="F25" s="4285">
        <f>SUMIF(86:86,E25,87:87)-SUMIF(86:86,C25,87:87)+100</f>
        <v>100</v>
      </c>
      <c r="G25" s="3251"/>
      <c r="H25" s="4285">
        <f>SUMIF(86:86,G25,87:87)-SUMIF(86:86,C25,87:87)+100</f>
        <v>100</v>
      </c>
      <c r="I25" s="3251"/>
      <c r="J25" s="4285">
        <f>SUMIF(86:86,I25,87:87)-SUMIF(86:86,C25,87:87)+100</f>
        <v>100</v>
      </c>
      <c r="K25" s="3184"/>
      <c r="L25" s="2203"/>
      <c r="M25" s="2197"/>
      <c r="N25" s="2197"/>
      <c r="O25" s="2197"/>
      <c r="P25" s="4764"/>
      <c r="Q25" s="1657" t="str">
        <f t="shared" ref="Q25:Q46" si="11">B25</f>
        <v>楼层-1</v>
      </c>
      <c r="R25" s="4295" t="s">
        <v>16</v>
      </c>
      <c r="S25" s="3601">
        <f t="shared" ref="S25:S46" si="12">F25</f>
        <v>100</v>
      </c>
      <c r="T25" s="4295" t="s">
        <v>16</v>
      </c>
      <c r="U25" s="3601">
        <f t="shared" ref="U25:U46" si="13">H25</f>
        <v>100</v>
      </c>
      <c r="V25" s="4295" t="s">
        <v>16</v>
      </c>
      <c r="W25" s="3601">
        <f t="shared" ref="W25:W46" si="14">J25</f>
        <v>100</v>
      </c>
      <c r="X25" s="1002"/>
      <c r="Y25" s="4757"/>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5">
        <f>SUMIF(88:88,E26,89:89)-SUMIF(88:88,C26,89:89)+100</f>
        <v>100</v>
      </c>
      <c r="G26" s="3251"/>
      <c r="H26" s="4285">
        <f>SUMIF(88:88,G26,89:89)-SUMIF(88:88,C26,89:89)+100</f>
        <v>100</v>
      </c>
      <c r="I26" s="3251"/>
      <c r="J26" s="4285">
        <f>SUMIF(88:88,I26,89:89)-SUMIF(88:88,C26,89:89)+100</f>
        <v>100</v>
      </c>
      <c r="K26" s="3184"/>
      <c r="L26" s="2203"/>
      <c r="M26" s="2197"/>
      <c r="N26" s="2197"/>
      <c r="O26" s="2197"/>
      <c r="P26" s="4764"/>
      <c r="Q26" s="1657" t="str">
        <f t="shared" si="11"/>
        <v>朝向</v>
      </c>
      <c r="R26" s="4295" t="s">
        <v>16</v>
      </c>
      <c r="S26" s="3601">
        <f t="shared" si="12"/>
        <v>100</v>
      </c>
      <c r="T26" s="4295" t="s">
        <v>16</v>
      </c>
      <c r="U26" s="3601">
        <f t="shared" si="13"/>
        <v>100</v>
      </c>
      <c r="V26" s="4295" t="s">
        <v>16</v>
      </c>
      <c r="W26" s="3601">
        <f t="shared" si="14"/>
        <v>100</v>
      </c>
      <c r="X26" s="1002"/>
      <c r="Y26" s="4757"/>
      <c r="Z26" s="1003" t="str">
        <f>Q26</f>
        <v>朝向</v>
      </c>
      <c r="AA26" s="1000">
        <f t="shared" si="15"/>
        <v>1</v>
      </c>
      <c r="AB26" s="1000">
        <f t="shared" si="16"/>
        <v>1</v>
      </c>
      <c r="AC26" s="1000">
        <f t="shared" si="17"/>
        <v>1</v>
      </c>
    </row>
    <row r="27" spans="1:29" s="49" customFormat="1" ht="15">
      <c r="A27" s="264"/>
      <c r="B27" s="3181">
        <v>111</v>
      </c>
      <c r="C27" s="3197"/>
      <c r="D27" s="3278">
        <v>100</v>
      </c>
      <c r="E27" s="3248"/>
      <c r="F27" s="4286">
        <f>SUMIF(90:90,E27,91:91)-SUMIF(90:90,C27,91:91)+100</f>
        <v>100</v>
      </c>
      <c r="G27" s="3254"/>
      <c r="H27" s="4286">
        <f>SUMIF(90:90,G27,91:91)-SUMIF(90:90,C27,91:91)+100</f>
        <v>100</v>
      </c>
      <c r="I27" s="3254"/>
      <c r="J27" s="4286">
        <f>SUMIF(90:90,I27,91:91)-SUMIF(90:90,C27,91:91)+100</f>
        <v>100</v>
      </c>
      <c r="K27" s="3185"/>
      <c r="L27" s="2198"/>
      <c r="M27" s="2199"/>
      <c r="N27" s="2199"/>
      <c r="O27" s="2199"/>
      <c r="P27" s="4764"/>
      <c r="Q27" s="3166">
        <f t="shared" si="11"/>
        <v>111</v>
      </c>
      <c r="R27" s="4170" t="s">
        <v>16</v>
      </c>
      <c r="S27" s="3600">
        <f t="shared" si="12"/>
        <v>100</v>
      </c>
      <c r="T27" s="4170" t="s">
        <v>16</v>
      </c>
      <c r="U27" s="3600">
        <f t="shared" si="13"/>
        <v>100</v>
      </c>
      <c r="V27" s="4170" t="s">
        <v>16</v>
      </c>
      <c r="W27" s="3600">
        <f t="shared" si="14"/>
        <v>100</v>
      </c>
      <c r="X27" s="515"/>
      <c r="Y27" s="4757"/>
      <c r="Z27" s="28">
        <f>Q27</f>
        <v>111</v>
      </c>
      <c r="AA27" s="1000">
        <f t="shared" si="15"/>
        <v>1</v>
      </c>
      <c r="AB27" s="1000">
        <f t="shared" si="16"/>
        <v>1</v>
      </c>
      <c r="AC27" s="1000">
        <f t="shared" si="17"/>
        <v>1</v>
      </c>
    </row>
    <row r="28" spans="1:29" ht="15">
      <c r="A28" s="261"/>
      <c r="B28" s="3181">
        <v>111</v>
      </c>
      <c r="C28" s="3198"/>
      <c r="D28" s="3272">
        <v>100</v>
      </c>
      <c r="E28" s="3198"/>
      <c r="F28" s="4285">
        <f>SUMIF(92:92,E28,93:93)-SUMIF(92:92,C28,93:93)+100</f>
        <v>100</v>
      </c>
      <c r="G28" s="3255"/>
      <c r="H28" s="4285">
        <f>SUMIF(92:92,G28,93:93)-SUMIF(92:92,C28,93:93)+100</f>
        <v>100</v>
      </c>
      <c r="I28" s="3198"/>
      <c r="J28" s="4285">
        <f>SUMIF(92:92,I28,93:93)-SUMIF(92:92,C28,93:93)+100</f>
        <v>100</v>
      </c>
      <c r="K28" s="3185"/>
      <c r="L28" s="2203"/>
      <c r="M28" s="2197"/>
      <c r="N28" s="2197"/>
      <c r="O28" s="2197"/>
      <c r="P28" s="4764"/>
      <c r="Q28" s="1657">
        <f t="shared" si="11"/>
        <v>111</v>
      </c>
      <c r="R28" s="4295" t="s">
        <v>16</v>
      </c>
      <c r="S28" s="3601">
        <f t="shared" si="12"/>
        <v>100</v>
      </c>
      <c r="T28" s="4295" t="s">
        <v>16</v>
      </c>
      <c r="U28" s="3601">
        <f t="shared" si="13"/>
        <v>100</v>
      </c>
      <c r="V28" s="4295" t="s">
        <v>16</v>
      </c>
      <c r="W28" s="3601">
        <f t="shared" si="14"/>
        <v>100</v>
      </c>
      <c r="X28" s="1002"/>
      <c r="Y28" s="4757"/>
      <c r="Z28" s="1003">
        <f t="shared" ref="Z28:Z46" si="18">Q28</f>
        <v>111</v>
      </c>
      <c r="AA28" s="1000">
        <f t="shared" si="15"/>
        <v>1</v>
      </c>
      <c r="AB28" s="1000">
        <f t="shared" si="16"/>
        <v>1</v>
      </c>
      <c r="AC28" s="1000">
        <f t="shared" si="17"/>
        <v>1</v>
      </c>
    </row>
    <row r="29" spans="1:29" ht="15">
      <c r="A29" s="261"/>
      <c r="B29" s="3181">
        <v>111</v>
      </c>
      <c r="C29" s="3198"/>
      <c r="D29" s="3272">
        <v>100</v>
      </c>
      <c r="E29" s="3198"/>
      <c r="F29" s="4285">
        <f>SUMIF(94:94,E29,95:95)-SUMIF(94:94,C29,95:95)+100</f>
        <v>100</v>
      </c>
      <c r="G29" s="3255"/>
      <c r="H29" s="4285">
        <f>SUMIF(94:94,G29,95:95)-SUMIF(94:94,C29,95:95)+100</f>
        <v>100</v>
      </c>
      <c r="I29" s="3198"/>
      <c r="J29" s="4285">
        <f>SUMIF(94:94,I29,95:95)-SUMIF(94:94,C29,95:95)+100</f>
        <v>100</v>
      </c>
      <c r="K29" s="3185"/>
      <c r="L29" s="2203"/>
      <c r="M29" s="2197"/>
      <c r="N29" s="2197"/>
      <c r="O29" s="2197"/>
      <c r="P29" s="4764"/>
      <c r="Q29" s="1657">
        <f t="shared" si="11"/>
        <v>111</v>
      </c>
      <c r="R29" s="4295" t="s">
        <v>16</v>
      </c>
      <c r="S29" s="3601">
        <f t="shared" si="12"/>
        <v>100</v>
      </c>
      <c r="T29" s="4295" t="s">
        <v>16</v>
      </c>
      <c r="U29" s="3601">
        <f t="shared" si="13"/>
        <v>100</v>
      </c>
      <c r="V29" s="4295" t="s">
        <v>16</v>
      </c>
      <c r="W29" s="3601">
        <f t="shared" si="14"/>
        <v>100</v>
      </c>
      <c r="X29" s="1002"/>
      <c r="Y29" s="4757"/>
      <c r="Z29" s="1003">
        <f t="shared" si="18"/>
        <v>111</v>
      </c>
      <c r="AA29" s="1000">
        <f t="shared" si="15"/>
        <v>1</v>
      </c>
      <c r="AB29" s="1000">
        <f t="shared" si="16"/>
        <v>1</v>
      </c>
      <c r="AC29" s="1000">
        <f t="shared" si="17"/>
        <v>1</v>
      </c>
    </row>
    <row r="30" spans="1:29" ht="15">
      <c r="A30" s="261"/>
      <c r="B30" s="3181">
        <v>111</v>
      </c>
      <c r="C30" s="3198"/>
      <c r="D30" s="3272">
        <v>100</v>
      </c>
      <c r="E30" s="3198"/>
      <c r="F30" s="4285">
        <f>SUMIF(96:96,E30,97:97)-SUMIF(96:96,C30,97:97)+100</f>
        <v>100</v>
      </c>
      <c r="G30" s="3255"/>
      <c r="H30" s="4285">
        <f>SUMIF(96:96,G30,97:97)-SUMIF(96:96,C30,97:97)+100</f>
        <v>100</v>
      </c>
      <c r="I30" s="3198"/>
      <c r="J30" s="4285">
        <f>SUMIF(96:96,I30,97:97)-SUMIF(96:96,C30,97:97)+100</f>
        <v>100</v>
      </c>
      <c r="K30" s="3185"/>
      <c r="L30" s="2203"/>
      <c r="M30" s="2197"/>
      <c r="N30" s="2197"/>
      <c r="O30" s="2197"/>
      <c r="P30" s="4764"/>
      <c r="Q30" s="1657">
        <f t="shared" si="11"/>
        <v>111</v>
      </c>
      <c r="R30" s="4295" t="s">
        <v>16</v>
      </c>
      <c r="S30" s="3601">
        <f t="shared" si="12"/>
        <v>100</v>
      </c>
      <c r="T30" s="4295" t="s">
        <v>16</v>
      </c>
      <c r="U30" s="3601">
        <f t="shared" si="13"/>
        <v>100</v>
      </c>
      <c r="V30" s="4295" t="s">
        <v>16</v>
      </c>
      <c r="W30" s="3601">
        <f t="shared" si="14"/>
        <v>100</v>
      </c>
      <c r="X30" s="1002"/>
      <c r="Y30" s="4757"/>
      <c r="Z30" s="1003">
        <f t="shared" si="18"/>
        <v>111</v>
      </c>
      <c r="AA30" s="1000">
        <f t="shared" si="15"/>
        <v>1</v>
      </c>
      <c r="AB30" s="1000">
        <f t="shared" si="16"/>
        <v>1</v>
      </c>
      <c r="AC30" s="1000">
        <f t="shared" si="17"/>
        <v>1</v>
      </c>
    </row>
    <row r="31" spans="1:29" ht="15.75" thickBot="1">
      <c r="A31" s="267"/>
      <c r="B31" s="3181">
        <v>111</v>
      </c>
      <c r="C31" s="3199"/>
      <c r="D31" s="3273">
        <v>100</v>
      </c>
      <c r="E31" s="3199"/>
      <c r="F31" s="4287">
        <f>SUMIF(98:98,E31,99:99)-SUMIF(98:98,C31,99:99)+100</f>
        <v>100</v>
      </c>
      <c r="G31" s="3256"/>
      <c r="H31" s="4287">
        <f>SUMIF(98:98,G31,99:99)-SUMIF(98:98,C31,99:99)+100</f>
        <v>100</v>
      </c>
      <c r="I31" s="3199"/>
      <c r="J31" s="4287">
        <f>SUMIF(98:98,I31,99:99)-SUMIF(98:98,C31,99:99)+100</f>
        <v>100</v>
      </c>
      <c r="K31" s="3185"/>
      <c r="L31" s="2203"/>
      <c r="M31" s="2197"/>
      <c r="N31" s="2197"/>
      <c r="O31" s="2197"/>
      <c r="P31" s="4764"/>
      <c r="Q31" s="1657">
        <f t="shared" si="11"/>
        <v>111</v>
      </c>
      <c r="R31" s="4295" t="s">
        <v>16</v>
      </c>
      <c r="S31" s="3601">
        <f t="shared" si="12"/>
        <v>100</v>
      </c>
      <c r="T31" s="4295" t="s">
        <v>16</v>
      </c>
      <c r="U31" s="3601">
        <f t="shared" si="13"/>
        <v>100</v>
      </c>
      <c r="V31" s="4295" t="s">
        <v>16</v>
      </c>
      <c r="W31" s="3601">
        <f t="shared" si="14"/>
        <v>100</v>
      </c>
      <c r="X31" s="1002"/>
      <c r="Y31" s="4757"/>
      <c r="Z31" s="1003">
        <f t="shared" si="18"/>
        <v>111</v>
      </c>
      <c r="AA31" s="1000">
        <f t="shared" si="15"/>
        <v>1</v>
      </c>
      <c r="AB31" s="1000">
        <f t="shared" si="16"/>
        <v>1</v>
      </c>
      <c r="AC31" s="1000">
        <f t="shared" si="17"/>
        <v>1</v>
      </c>
    </row>
    <row r="32" spans="1:29" ht="15">
      <c r="A32" s="269" t="s">
        <v>1612</v>
      </c>
      <c r="B32" s="3173" t="s">
        <v>1613</v>
      </c>
      <c r="C32" s="3205"/>
      <c r="D32" s="3279">
        <v>100</v>
      </c>
      <c r="E32" s="3249"/>
      <c r="F32" s="4288">
        <f>SUMIF(100:100,E32,101:101)-SUMIF(100:100,C32,101:101)+100</f>
        <v>100</v>
      </c>
      <c r="G32" s="3205"/>
      <c r="H32" s="4292">
        <f>SUMIF(100:100,G32,101:101)-SUMIF(100:100,C32,101:101)+100</f>
        <v>100</v>
      </c>
      <c r="I32" s="3249"/>
      <c r="J32" s="4285">
        <f>SUMIF(100:100,I32,101:101)-SUMIF(100:100,C32,101:101)+100</f>
        <v>100</v>
      </c>
      <c r="K32" s="3184"/>
      <c r="L32" s="2203"/>
      <c r="M32" s="2197"/>
      <c r="N32" s="2197"/>
      <c r="O32" s="2197"/>
      <c r="P32" s="4758" t="s">
        <v>1614</v>
      </c>
      <c r="Q32" s="1657" t="str">
        <f t="shared" si="11"/>
        <v>建筑类型</v>
      </c>
      <c r="R32" s="4295" t="s">
        <v>16</v>
      </c>
      <c r="S32" s="3601">
        <f t="shared" si="12"/>
        <v>100</v>
      </c>
      <c r="T32" s="4295" t="s">
        <v>16</v>
      </c>
      <c r="U32" s="3601">
        <f t="shared" si="13"/>
        <v>100</v>
      </c>
      <c r="V32" s="4295" t="s">
        <v>16</v>
      </c>
      <c r="W32" s="3601">
        <f t="shared" si="14"/>
        <v>100</v>
      </c>
      <c r="X32" s="1002"/>
      <c r="Y32" s="4761"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79" t="e">
        <f>LOOKUP(E33,103:103,104:104)-LOOKUP(C33,103:103,104:104)+100</f>
        <v>#N/A</v>
      </c>
      <c r="G33" s="3195"/>
      <c r="H33" s="4291" t="e">
        <f>LOOKUP(G33,103:103,104:104)-LOOKUP(C33,103:103,104:104)+100</f>
        <v>#N/A</v>
      </c>
      <c r="I33" s="3224"/>
      <c r="J33" s="4291" t="e">
        <f>LOOKUP(I33,103:103,104:104)-LOOKUP(C33,103:103,104:104)+100</f>
        <v>#N/A</v>
      </c>
      <c r="K33" s="3185"/>
      <c r="L33" s="2202"/>
      <c r="M33" s="2204"/>
      <c r="N33" s="2204"/>
      <c r="O33" s="2204"/>
      <c r="P33" s="4759"/>
      <c r="Q33" s="3246" t="str">
        <f t="shared" si="11"/>
        <v>项目建筑规模</v>
      </c>
      <c r="R33" s="4296" t="s">
        <v>16</v>
      </c>
      <c r="S33" s="3602" t="e">
        <f t="shared" si="12"/>
        <v>#N/A</v>
      </c>
      <c r="T33" s="4296" t="s">
        <v>16</v>
      </c>
      <c r="U33" s="3602" t="e">
        <f t="shared" si="13"/>
        <v>#N/A</v>
      </c>
      <c r="V33" s="4296" t="s">
        <v>16</v>
      </c>
      <c r="W33" s="3602" t="e">
        <f t="shared" si="14"/>
        <v>#N/A</v>
      </c>
      <c r="X33" s="518"/>
      <c r="Y33" s="4761"/>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88">
        <f>SUMIF(105:105,E34,106:106)-SUMIF(105:105,C34,106:106)+100</f>
        <v>100</v>
      </c>
      <c r="G34" s="3207"/>
      <c r="H34" s="4285">
        <f>SUMIF(105:105,G34,106:106)-SUMIF(105:105,C34,106:106)+100</f>
        <v>100</v>
      </c>
      <c r="I34" s="3250"/>
      <c r="J34" s="4285">
        <f>SUMIF(105:105,I34,106:106)-SUMIF(105:105,C34,106:106)+100</f>
        <v>100</v>
      </c>
      <c r="K34" s="3184"/>
      <c r="L34" s="2203"/>
      <c r="M34" s="2197"/>
      <c r="N34" s="2197"/>
      <c r="O34" s="2197"/>
      <c r="P34" s="4759"/>
      <c r="Q34" s="1657" t="str">
        <f t="shared" si="11"/>
        <v>建筑结构</v>
      </c>
      <c r="R34" s="4295" t="s">
        <v>16</v>
      </c>
      <c r="S34" s="3601">
        <f t="shared" si="12"/>
        <v>100</v>
      </c>
      <c r="T34" s="4295" t="s">
        <v>16</v>
      </c>
      <c r="U34" s="3601">
        <f t="shared" si="13"/>
        <v>100</v>
      </c>
      <c r="V34" s="4295" t="s">
        <v>16</v>
      </c>
      <c r="W34" s="3601">
        <f t="shared" si="14"/>
        <v>100</v>
      </c>
      <c r="X34" s="1002"/>
      <c r="Y34" s="4761"/>
      <c r="Z34" s="1003" t="str">
        <f t="shared" si="18"/>
        <v>建筑结构</v>
      </c>
      <c r="AA34" s="1000">
        <f t="shared" si="15"/>
        <v>1</v>
      </c>
      <c r="AB34" s="1000">
        <f t="shared" si="16"/>
        <v>1</v>
      </c>
      <c r="AC34" s="1000">
        <f t="shared" si="17"/>
        <v>1</v>
      </c>
    </row>
    <row r="35" spans="1:29" ht="15">
      <c r="A35" s="287"/>
      <c r="B35" s="3168" t="s">
        <v>1617</v>
      </c>
      <c r="C35" s="3208"/>
      <c r="D35" s="3272">
        <v>100</v>
      </c>
      <c r="E35" s="3251"/>
      <c r="F35" s="4288">
        <f>SUMIF(107:107,E35,108:108)-SUMIF(107:107,C35,108:108)+100</f>
        <v>100</v>
      </c>
      <c r="G35" s="3208"/>
      <c r="H35" s="4285">
        <f>SUMIF(107:107,G35,108:108)-SUMIF(107:107,C35,108:108)+100</f>
        <v>100</v>
      </c>
      <c r="I35" s="3251"/>
      <c r="J35" s="4285">
        <f>SUMIF(107:107,I35,108:108)-SUMIF(107:107,C35,108:108)+100</f>
        <v>100</v>
      </c>
      <c r="K35" s="3184"/>
      <c r="L35" s="2203"/>
      <c r="M35" s="2197"/>
      <c r="N35" s="2197"/>
      <c r="O35" s="2197"/>
      <c r="P35" s="4759"/>
      <c r="Q35" s="1657" t="str">
        <f t="shared" si="11"/>
        <v>建筑品质</v>
      </c>
      <c r="R35" s="4295" t="s">
        <v>16</v>
      </c>
      <c r="S35" s="3601">
        <f t="shared" si="12"/>
        <v>100</v>
      </c>
      <c r="T35" s="4295" t="s">
        <v>16</v>
      </c>
      <c r="U35" s="3601">
        <f t="shared" si="13"/>
        <v>100</v>
      </c>
      <c r="V35" s="4295" t="s">
        <v>16</v>
      </c>
      <c r="W35" s="3601">
        <f t="shared" si="14"/>
        <v>100</v>
      </c>
      <c r="X35" s="1002"/>
      <c r="Y35" s="4761"/>
      <c r="Z35" s="1003" t="str">
        <f t="shared" si="18"/>
        <v>建筑品质</v>
      </c>
      <c r="AA35" s="1000">
        <f t="shared" si="15"/>
        <v>1</v>
      </c>
      <c r="AB35" s="1000">
        <f t="shared" si="16"/>
        <v>1</v>
      </c>
      <c r="AC35" s="1000">
        <f t="shared" si="17"/>
        <v>1</v>
      </c>
    </row>
    <row r="36" spans="1:29" ht="15">
      <c r="A36" s="287"/>
      <c r="B36" s="3168" t="s">
        <v>1618</v>
      </c>
      <c r="C36" s="3208"/>
      <c r="D36" s="3272">
        <v>100</v>
      </c>
      <c r="E36" s="3251"/>
      <c r="F36" s="4288">
        <f>SUMIF(109:109,E36,110:110)-SUMIF(109:109,C36,110:110)+100</f>
        <v>100</v>
      </c>
      <c r="G36" s="3208"/>
      <c r="H36" s="4285">
        <f>SUMIF(109:109,G36,110:110)-SUMIF(109:109,C36,110:110)+100</f>
        <v>100</v>
      </c>
      <c r="I36" s="3251"/>
      <c r="J36" s="4285">
        <f>SUMIF(109:109,I36,110:110)-SUMIF(109:109,C36,110:110)+100</f>
        <v>100</v>
      </c>
      <c r="K36" s="3184"/>
      <c r="L36" s="2203"/>
      <c r="M36" s="2197"/>
      <c r="N36" s="2197"/>
      <c r="O36" s="2197"/>
      <c r="P36" s="4759"/>
      <c r="Q36" s="1657" t="str">
        <f t="shared" si="11"/>
        <v>公共部分装修</v>
      </c>
      <c r="R36" s="4295" t="s">
        <v>16</v>
      </c>
      <c r="S36" s="3601">
        <f t="shared" si="12"/>
        <v>100</v>
      </c>
      <c r="T36" s="4295" t="s">
        <v>16</v>
      </c>
      <c r="U36" s="3601">
        <f t="shared" si="13"/>
        <v>100</v>
      </c>
      <c r="V36" s="4295" t="s">
        <v>16</v>
      </c>
      <c r="W36" s="3601">
        <f t="shared" si="14"/>
        <v>100</v>
      </c>
      <c r="X36" s="1002"/>
      <c r="Y36" s="4761"/>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79" t="e">
        <f>LOOKUP(E37,112:112,113:113)-LOOKUP(C37,112:112,113:113)+100</f>
        <v>#N/A</v>
      </c>
      <c r="G37" s="3257"/>
      <c r="H37" s="4291" t="e">
        <f>LOOKUP(G37,112:112,113:113)-LOOKUP(C37,112:112,113:113)+100</f>
        <v>#N/A</v>
      </c>
      <c r="I37" s="3258"/>
      <c r="J37" s="4291" t="e">
        <f>LOOKUP(I37,112:112,113:113)-LOOKUP(C37,112:112,113:113)+100</f>
        <v>#N/A</v>
      </c>
      <c r="K37" s="3184"/>
      <c r="L37" s="2198"/>
      <c r="M37" s="2199"/>
      <c r="N37" s="2199"/>
      <c r="O37" s="2199"/>
      <c r="P37" s="4759"/>
      <c r="Q37" s="3166" t="str">
        <f t="shared" si="11"/>
        <v>成新度</v>
      </c>
      <c r="R37" s="4170" t="s">
        <v>16</v>
      </c>
      <c r="S37" s="3600" t="e">
        <f t="shared" si="12"/>
        <v>#N/A</v>
      </c>
      <c r="T37" s="4170" t="s">
        <v>16</v>
      </c>
      <c r="U37" s="3600" t="e">
        <f t="shared" si="13"/>
        <v>#N/A</v>
      </c>
      <c r="V37" s="4170" t="s">
        <v>16</v>
      </c>
      <c r="W37" s="3600" t="e">
        <f t="shared" si="14"/>
        <v>#N/A</v>
      </c>
      <c r="X37" s="515"/>
      <c r="Y37" s="4761"/>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88">
        <f>SUMIF(114:114,E38,115:115)-SUMIF(114:114,C38,115:115)+100</f>
        <v>100</v>
      </c>
      <c r="G38" s="3208"/>
      <c r="H38" s="4285">
        <f>SUMIF(114:114,G38,115:115)-SUMIF(114:114,C38,115:115)+100</f>
        <v>100</v>
      </c>
      <c r="I38" s="3251"/>
      <c r="J38" s="4285">
        <f>SUMIF(114:114,I38,115:115)-SUMIF(114:114,C38,115:115)+100</f>
        <v>100</v>
      </c>
      <c r="K38" s="3184"/>
      <c r="L38" s="2203"/>
      <c r="M38" s="2197"/>
      <c r="N38" s="2197"/>
      <c r="O38" s="2197"/>
      <c r="P38" s="4759" t="s">
        <v>1614</v>
      </c>
      <c r="Q38" s="1657" t="str">
        <f t="shared" si="11"/>
        <v>物业管理</v>
      </c>
      <c r="R38" s="4295" t="s">
        <v>16</v>
      </c>
      <c r="S38" s="3601">
        <f t="shared" si="12"/>
        <v>100</v>
      </c>
      <c r="T38" s="4295" t="s">
        <v>16</v>
      </c>
      <c r="U38" s="3601">
        <f t="shared" si="13"/>
        <v>100</v>
      </c>
      <c r="V38" s="4295" t="s">
        <v>16</v>
      </c>
      <c r="W38" s="3601">
        <f t="shared" si="14"/>
        <v>100</v>
      </c>
      <c r="X38" s="1002"/>
      <c r="Y38" s="4761"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88">
        <f>SUMIF(116:116,E39,117:117)-SUMIF(116:116,C39,117:117)+100</f>
        <v>100</v>
      </c>
      <c r="G39" s="3208"/>
      <c r="H39" s="4285">
        <f>SUMIF(116:116,G39,117:117)-SUMIF(116:116,C39,117:117)+100</f>
        <v>100</v>
      </c>
      <c r="I39" s="3251"/>
      <c r="J39" s="4285">
        <f>SUMIF(116:116,I39,117:117)-SUMIF(116:116,C39,117:117)+100</f>
        <v>100</v>
      </c>
      <c r="K39" s="3184"/>
      <c r="L39" s="2203"/>
      <c r="M39" s="2197"/>
      <c r="N39" s="2197"/>
      <c r="O39" s="2197"/>
      <c r="P39" s="4759"/>
      <c r="Q39" s="1657" t="str">
        <f t="shared" si="11"/>
        <v>市政基础设施</v>
      </c>
      <c r="R39" s="4295" t="s">
        <v>16</v>
      </c>
      <c r="S39" s="3601">
        <f t="shared" si="12"/>
        <v>100</v>
      </c>
      <c r="T39" s="4295" t="s">
        <v>16</v>
      </c>
      <c r="U39" s="3601">
        <f t="shared" si="13"/>
        <v>100</v>
      </c>
      <c r="V39" s="4295" t="s">
        <v>16</v>
      </c>
      <c r="W39" s="3601">
        <f t="shared" si="14"/>
        <v>100</v>
      </c>
      <c r="X39" s="1002"/>
      <c r="Y39" s="4761"/>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88">
        <f>SUMIF(118:118,E40,119:119)-SUMIF(118:118,C40,119:119)+100</f>
        <v>100</v>
      </c>
      <c r="G40" s="3208"/>
      <c r="H40" s="4285">
        <f>SUMIF(118:118,G40,119:119)-SUMIF(118:118,C40,119:119)+100</f>
        <v>100</v>
      </c>
      <c r="I40" s="3251"/>
      <c r="J40" s="4285">
        <f>SUMIF(118:118,I40,119:119)-SUMIF(118:118,C40,119:119)+100</f>
        <v>100</v>
      </c>
      <c r="K40" s="3184"/>
      <c r="L40" s="2203"/>
      <c r="M40" s="2197"/>
      <c r="N40" s="2197"/>
      <c r="O40" s="2197"/>
      <c r="P40" s="4759"/>
      <c r="Q40" s="1657" t="str">
        <f t="shared" si="11"/>
        <v>房型</v>
      </c>
      <c r="R40" s="4295" t="s">
        <v>16</v>
      </c>
      <c r="S40" s="3601">
        <f t="shared" si="12"/>
        <v>100</v>
      </c>
      <c r="T40" s="4295" t="s">
        <v>16</v>
      </c>
      <c r="U40" s="3601">
        <f t="shared" si="13"/>
        <v>100</v>
      </c>
      <c r="V40" s="4295" t="s">
        <v>16</v>
      </c>
      <c r="W40" s="3601">
        <f t="shared" si="14"/>
        <v>100</v>
      </c>
      <c r="X40" s="1002"/>
      <c r="Y40" s="4761"/>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79">
        <f>SUMIF(120:120,E41,121:121)-SUMIF(120:120,C41,121:121)+100</f>
        <v>100</v>
      </c>
      <c r="G41" s="3195"/>
      <c r="H41" s="4291">
        <f>SUMIF(120:120,G41,121:121)-SUMIF(120:120,C41,121:121)+100</f>
        <v>100</v>
      </c>
      <c r="I41" s="3265"/>
      <c r="J41" s="4285">
        <f>SUMIF(120:120,I41,121:121)-SUMIF(120:120,C41,121:121)+100</f>
        <v>100</v>
      </c>
      <c r="K41" s="3185"/>
      <c r="L41" s="2202"/>
      <c r="M41" s="2204"/>
      <c r="N41" s="2204"/>
      <c r="O41" s="2204"/>
      <c r="P41" s="4759"/>
      <c r="Q41" s="3246" t="str">
        <f t="shared" si="11"/>
        <v>单套/主力户型建筑面积</v>
      </c>
      <c r="R41" s="4296" t="s">
        <v>16</v>
      </c>
      <c r="S41" s="3602">
        <f t="shared" si="12"/>
        <v>100</v>
      </c>
      <c r="T41" s="4296" t="s">
        <v>16</v>
      </c>
      <c r="U41" s="3602">
        <f t="shared" si="13"/>
        <v>100</v>
      </c>
      <c r="V41" s="4296" t="s">
        <v>16</v>
      </c>
      <c r="W41" s="3602">
        <f t="shared" si="14"/>
        <v>100</v>
      </c>
      <c r="X41" s="518"/>
      <c r="Y41" s="4761"/>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88">
        <f>SUMIF(122:122,E42,123:123)-SUMIF(122:122,C42,123:123)+100</f>
        <v>100</v>
      </c>
      <c r="G42" s="3208"/>
      <c r="H42" s="4285">
        <f>SUMIF(122:122,G42,123:123)-SUMIF(122:122,C42,123:123)+100</f>
        <v>100</v>
      </c>
      <c r="I42" s="3251"/>
      <c r="J42" s="4285">
        <f>SUMIF(122:122,I42,123:123)-SUMIF(122:122,C42,123:123)+100</f>
        <v>100</v>
      </c>
      <c r="K42" s="3184"/>
      <c r="L42" s="2203"/>
      <c r="M42" s="2197"/>
      <c r="N42" s="2197"/>
      <c r="O42" s="2197"/>
      <c r="P42" s="4759"/>
      <c r="Q42" s="1657" t="str">
        <f t="shared" si="11"/>
        <v>内部装修</v>
      </c>
      <c r="R42" s="4295" t="s">
        <v>16</v>
      </c>
      <c r="S42" s="3601">
        <f t="shared" si="12"/>
        <v>100</v>
      </c>
      <c r="T42" s="4295" t="s">
        <v>16</v>
      </c>
      <c r="U42" s="3601">
        <f t="shared" si="13"/>
        <v>100</v>
      </c>
      <c r="V42" s="4295" t="s">
        <v>16</v>
      </c>
      <c r="W42" s="3601">
        <f t="shared" si="14"/>
        <v>100</v>
      </c>
      <c r="X42" s="1002"/>
      <c r="Y42" s="4761"/>
      <c r="Z42" s="1003" t="str">
        <f t="shared" si="18"/>
        <v>内部装修</v>
      </c>
      <c r="AA42" s="1000">
        <f t="shared" si="15"/>
        <v>1</v>
      </c>
      <c r="AB42" s="1000">
        <f t="shared" si="16"/>
        <v>1</v>
      </c>
      <c r="AC42" s="1000">
        <f t="shared" si="17"/>
        <v>1</v>
      </c>
    </row>
    <row r="43" spans="1:29" ht="15">
      <c r="A43" s="287"/>
      <c r="B43" s="3168" t="s">
        <v>1625</v>
      </c>
      <c r="C43" s="3208"/>
      <c r="D43" s="3272">
        <v>100</v>
      </c>
      <c r="E43" s="3251"/>
      <c r="F43" s="4288">
        <f>SUMIF(124:124,E43,125:125)-SUMIF(124:124,C43,125:125)+100</f>
        <v>100</v>
      </c>
      <c r="G43" s="3208"/>
      <c r="H43" s="4285">
        <f>SUMIF(124:124,G43,125:125)-SUMIF(124:124,C43,125:125)+100</f>
        <v>100</v>
      </c>
      <c r="I43" s="3251"/>
      <c r="J43" s="4285">
        <f>SUMIF(124:124,I43,125:125)-SUMIF(124:124,C43,125:125)+100</f>
        <v>100</v>
      </c>
      <c r="K43" s="3184"/>
      <c r="L43" s="2203"/>
      <c r="M43" s="2197"/>
      <c r="N43" s="2197"/>
      <c r="O43" s="2197"/>
      <c r="P43" s="4759"/>
      <c r="Q43" s="1657" t="str">
        <f t="shared" si="11"/>
        <v>内部装修维护情况</v>
      </c>
      <c r="R43" s="4295" t="s">
        <v>16</v>
      </c>
      <c r="S43" s="3601">
        <f t="shared" si="12"/>
        <v>100</v>
      </c>
      <c r="T43" s="4295" t="s">
        <v>16</v>
      </c>
      <c r="U43" s="3601">
        <f t="shared" si="13"/>
        <v>100</v>
      </c>
      <c r="V43" s="4295" t="s">
        <v>16</v>
      </c>
      <c r="W43" s="3601">
        <f t="shared" si="14"/>
        <v>100</v>
      </c>
      <c r="X43" s="1002"/>
      <c r="Y43" s="4761"/>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79">
        <f>SUMIF(126:126,E44,127:127)-SUMIF(126:126,C44,127:127)+100</f>
        <v>100</v>
      </c>
      <c r="G44" s="3206"/>
      <c r="H44" s="4291">
        <f>SUMIF(126:126,G44,127:127)-SUMIF(126:126,C44,127:127)+100</f>
        <v>100</v>
      </c>
      <c r="I44" s="3206"/>
      <c r="J44" s="4291">
        <f>SUMIF(126:126,I44,127:127)-SUMIF(126:126,C44,127:127)+100</f>
        <v>100</v>
      </c>
      <c r="K44" s="3185"/>
      <c r="L44" s="2198"/>
      <c r="M44" s="2199"/>
      <c r="N44" s="2199"/>
      <c r="O44" s="2199"/>
      <c r="P44" s="4759"/>
      <c r="Q44" s="3166">
        <f t="shared" si="11"/>
        <v>111</v>
      </c>
      <c r="R44" s="4170" t="s">
        <v>16</v>
      </c>
      <c r="S44" s="3600">
        <f t="shared" si="12"/>
        <v>100</v>
      </c>
      <c r="T44" s="4170" t="s">
        <v>16</v>
      </c>
      <c r="U44" s="3600">
        <f t="shared" si="13"/>
        <v>100</v>
      </c>
      <c r="V44" s="4170" t="s">
        <v>16</v>
      </c>
      <c r="W44" s="3600">
        <f t="shared" si="14"/>
        <v>100</v>
      </c>
      <c r="X44" s="515"/>
      <c r="Y44" s="4761"/>
      <c r="Z44" s="28">
        <f t="shared" si="18"/>
        <v>111</v>
      </c>
      <c r="AA44" s="516">
        <f t="shared" si="15"/>
        <v>1</v>
      </c>
      <c r="AB44" s="516">
        <f t="shared" si="16"/>
        <v>1</v>
      </c>
      <c r="AC44" s="516">
        <f t="shared" si="17"/>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185"/>
      <c r="L45" s="2203"/>
      <c r="M45" s="2197"/>
      <c r="N45" s="2197"/>
      <c r="O45" s="2197"/>
      <c r="P45" s="4759"/>
      <c r="Q45" s="1657">
        <f t="shared" si="11"/>
        <v>111</v>
      </c>
      <c r="R45" s="4295" t="s">
        <v>16</v>
      </c>
      <c r="S45" s="3601">
        <f t="shared" si="12"/>
        <v>100</v>
      </c>
      <c r="T45" s="4295" t="s">
        <v>16</v>
      </c>
      <c r="U45" s="3601">
        <f t="shared" si="13"/>
        <v>100</v>
      </c>
      <c r="V45" s="4295" t="s">
        <v>16</v>
      </c>
      <c r="W45" s="3601">
        <f t="shared" si="14"/>
        <v>100</v>
      </c>
      <c r="X45" s="1002"/>
      <c r="Y45" s="4761"/>
      <c r="Z45" s="1003">
        <f t="shared" si="18"/>
        <v>111</v>
      </c>
      <c r="AA45" s="1000">
        <f t="shared" si="15"/>
        <v>1</v>
      </c>
      <c r="AB45" s="1000">
        <f t="shared" si="16"/>
        <v>1</v>
      </c>
      <c r="AC45" s="1000">
        <f t="shared" si="17"/>
        <v>1</v>
      </c>
    </row>
    <row r="46" spans="1:29" ht="15.75" thickBot="1">
      <c r="A46" s="292"/>
      <c r="B46" s="3175">
        <v>111</v>
      </c>
      <c r="C46" s="3199"/>
      <c r="D46" s="3273">
        <v>100</v>
      </c>
      <c r="E46" s="3199"/>
      <c r="F46" s="4280">
        <f>SUMIF(130:130,E46,131:131)-SUMIF(130:130,C46,131:131)+100</f>
        <v>100</v>
      </c>
      <c r="G46" s="3199"/>
      <c r="H46" s="4287">
        <f>SUMIF(130:130,G46,131:131)-SUMIF(130:130,C46,131:131)+100</f>
        <v>100</v>
      </c>
      <c r="I46" s="3199"/>
      <c r="J46" s="4287">
        <f>SUMIF(130:130,I46,131:131)-SUMIF(130:130,C46,131:131)+100</f>
        <v>100</v>
      </c>
      <c r="K46" s="3185"/>
      <c r="L46" s="2203"/>
      <c r="M46" s="2197"/>
      <c r="N46" s="2197"/>
      <c r="O46" s="2197"/>
      <c r="P46" s="4760"/>
      <c r="Q46" s="1657">
        <f t="shared" si="11"/>
        <v>111</v>
      </c>
      <c r="R46" s="4295" t="s">
        <v>15</v>
      </c>
      <c r="S46" s="3601">
        <f t="shared" si="12"/>
        <v>100</v>
      </c>
      <c r="T46" s="4295" t="s">
        <v>15</v>
      </c>
      <c r="U46" s="3601">
        <f t="shared" si="13"/>
        <v>100</v>
      </c>
      <c r="V46" s="4295" t="s">
        <v>15</v>
      </c>
      <c r="W46" s="3601">
        <f t="shared" si="14"/>
        <v>100</v>
      </c>
      <c r="X46" s="1002"/>
      <c r="Y46" s="4762"/>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1627</v>
      </c>
      <c r="B48" s="297"/>
      <c r="C48" s="4293" t="e">
        <f>R49</f>
        <v>#DIV/0!</v>
      </c>
      <c r="D48" s="4462" t="s">
        <v>2053</v>
      </c>
      <c r="E48" s="3267" t="e">
        <f>R48</f>
        <v>#DIV/0!</v>
      </c>
      <c r="F48" s="3182"/>
      <c r="G48" s="3266" t="e">
        <f>T48</f>
        <v>#DIV/0!</v>
      </c>
      <c r="H48" s="3182"/>
      <c r="I48" s="3267" t="e">
        <f>V48</f>
        <v>#DIV/0!</v>
      </c>
      <c r="J48" s="3182"/>
      <c r="K48" s="3237">
        <f>F48+H48+J48</f>
        <v>0</v>
      </c>
      <c r="L48" s="2205"/>
      <c r="M48" s="2206"/>
      <c r="N48" s="2206"/>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1628</v>
      </c>
      <c r="B49" s="299"/>
      <c r="C49" s="4294" t="e">
        <f>R49</f>
        <v>#DIV/0!</v>
      </c>
      <c r="D49" s="848"/>
      <c r="E49" s="848"/>
      <c r="F49" s="848"/>
      <c r="G49" s="848"/>
      <c r="H49" s="848"/>
      <c r="I49" s="848"/>
      <c r="J49" s="848"/>
      <c r="K49" s="1512"/>
      <c r="L49" s="2205"/>
      <c r="M49" s="2206"/>
      <c r="N49" s="2206"/>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4">
        <f>IF(C2="含税",D2,ROUND(D2/(1+F3),0))</f>
        <v>0</v>
      </c>
      <c r="C2" s="3161"/>
      <c r="D2" s="4297" t="b">
        <f>IF(E1="项目模式",IF(E2="——",ROUND(C49*D3/10000,0),ROUND(C49*D3/10000,0)-F2),IF(E1="单套模式",IF(E2="——",ROUND(C49*D3/10000,4),ROUND(C49*D3/10000,4)-F2)))</f>
        <v>0</v>
      </c>
      <c r="E2" s="1494"/>
      <c r="F2" s="4298"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3" t="s">
        <v>3521</v>
      </c>
      <c r="F3" s="4464">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70" t="s">
        <v>1688</v>
      </c>
      <c r="D4" s="4771"/>
      <c r="E4" s="4772" t="s">
        <v>1689</v>
      </c>
      <c r="F4" s="4773"/>
      <c r="G4" s="4770" t="s">
        <v>1690</v>
      </c>
      <c r="H4" s="4771"/>
      <c r="I4" s="4770" t="s">
        <v>1691</v>
      </c>
      <c r="J4" s="4771"/>
      <c r="K4" s="3245" t="s">
        <v>1692</v>
      </c>
      <c r="L4" s="2196"/>
      <c r="M4" s="2197"/>
      <c r="N4" s="2197"/>
      <c r="O4" s="2197"/>
      <c r="P4" s="4774" t="s">
        <v>1693</v>
      </c>
      <c r="Q4" s="4775"/>
      <c r="R4" s="4780" t="s">
        <v>1689</v>
      </c>
      <c r="S4" s="4781"/>
      <c r="T4" s="4780" t="s">
        <v>1690</v>
      </c>
      <c r="U4" s="4781"/>
      <c r="V4" s="4786" t="s">
        <v>1691</v>
      </c>
      <c r="W4" s="4786"/>
      <c r="X4" s="1002"/>
      <c r="Y4" s="4795" t="s">
        <v>1693</v>
      </c>
      <c r="Z4" s="4796"/>
      <c r="AA4" s="4767" t="s">
        <v>1689</v>
      </c>
      <c r="AB4" s="4806" t="s">
        <v>1690</v>
      </c>
      <c r="AC4" s="4767" t="s">
        <v>1691</v>
      </c>
    </row>
    <row r="5" spans="1:29" ht="15">
      <c r="A5" s="245"/>
      <c r="B5" s="246"/>
      <c r="C5" s="4789" t="s">
        <v>1591</v>
      </c>
      <c r="D5" s="4790"/>
      <c r="E5" s="4804" t="s">
        <v>1592</v>
      </c>
      <c r="F5" s="4805"/>
      <c r="G5" s="4789" t="s">
        <v>1593</v>
      </c>
      <c r="H5" s="4790"/>
      <c r="I5" s="4789" t="s">
        <v>1594</v>
      </c>
      <c r="J5" s="4790"/>
      <c r="K5" s="3245"/>
      <c r="L5" s="2196"/>
      <c r="M5" s="2197"/>
      <c r="N5" s="2197"/>
      <c r="O5" s="2197"/>
      <c r="P5" s="4776"/>
      <c r="Q5" s="4777"/>
      <c r="R5" s="4782"/>
      <c r="S5" s="4783"/>
      <c r="T5" s="4782"/>
      <c r="U5" s="4783"/>
      <c r="V5" s="4786"/>
      <c r="W5" s="4786"/>
      <c r="X5" s="1002"/>
      <c r="Y5" s="4797"/>
      <c r="Z5" s="4798"/>
      <c r="AA5" s="4768"/>
      <c r="AB5" s="4806"/>
      <c r="AC5" s="4768"/>
    </row>
    <row r="6" spans="1:29" ht="15.75" thickBot="1">
      <c r="A6" s="247"/>
      <c r="B6" s="248"/>
      <c r="C6" s="4787" t="s">
        <v>1595</v>
      </c>
      <c r="D6" s="4788"/>
      <c r="E6" s="4802" t="s">
        <v>1595</v>
      </c>
      <c r="F6" s="4803"/>
      <c r="G6" s="4787" t="s">
        <v>1595</v>
      </c>
      <c r="H6" s="4788"/>
      <c r="I6" s="4787" t="s">
        <v>1595</v>
      </c>
      <c r="J6" s="4788"/>
      <c r="K6" s="3245" t="s">
        <v>1596</v>
      </c>
      <c r="L6" s="2196"/>
      <c r="M6" s="2197"/>
      <c r="N6" s="2197"/>
      <c r="O6" s="2197"/>
      <c r="P6" s="4778"/>
      <c r="Q6" s="4779"/>
      <c r="R6" s="4782"/>
      <c r="S6" s="4783"/>
      <c r="T6" s="4784"/>
      <c r="U6" s="4785"/>
      <c r="V6" s="4786"/>
      <c r="W6" s="4786"/>
      <c r="X6" s="1002"/>
      <c r="Y6" s="4799"/>
      <c r="Z6" s="4800"/>
      <c r="AA6" s="4769"/>
      <c r="AB6" s="4806"/>
      <c r="AC6" s="4769"/>
    </row>
    <row r="7" spans="1:29" s="49" customFormat="1" ht="15.75" thickBot="1">
      <c r="A7" s="249" t="s">
        <v>1597</v>
      </c>
      <c r="B7" s="250"/>
      <c r="C7" s="251">
        <f>'数据-取费表'!B2</f>
        <v>46041</v>
      </c>
      <c r="D7" s="3268">
        <v>100</v>
      </c>
      <c r="E7" s="3222"/>
      <c r="F7" s="4277">
        <f>SUMIF(58:58,YEAR(E7)&amp;"-"&amp;MONTH(E7),59:59)</f>
        <v>0</v>
      </c>
      <c r="G7" s="3222"/>
      <c r="H7" s="4289">
        <f>SUMIF(58:58,YEAR(G7)&amp;"-"&amp;MONTH(G7),59:59)</f>
        <v>0</v>
      </c>
      <c r="I7" s="3222"/>
      <c r="J7" s="4289">
        <f>SUMIF(58:58,YEAR(I7)&amp;"-"&amp;MONTH(I7),59:59)</f>
        <v>0</v>
      </c>
      <c r="K7" s="3238"/>
      <c r="L7" s="2198"/>
      <c r="M7" s="2199"/>
      <c r="N7" s="2199"/>
      <c r="O7" s="2199"/>
      <c r="P7" s="4791" t="s">
        <v>1598</v>
      </c>
      <c r="Q7" s="4801"/>
      <c r="R7" s="4170" t="s">
        <v>13</v>
      </c>
      <c r="S7" s="3600">
        <f t="shared" ref="S7:S15" si="0">F7</f>
        <v>0</v>
      </c>
      <c r="T7" s="4170" t="s">
        <v>13</v>
      </c>
      <c r="U7" s="3600">
        <f t="shared" ref="U7:U15" si="1">H7</f>
        <v>0</v>
      </c>
      <c r="V7" s="4170" t="s">
        <v>13</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68">
        <v>100</v>
      </c>
      <c r="E8" s="3193"/>
      <c r="F8" s="4277">
        <f>SUMIF(61:61,E8,62:62)-SUMIF(61:61,C8,62:62)+100</f>
        <v>100</v>
      </c>
      <c r="G8" s="3193"/>
      <c r="H8" s="4289">
        <f>SUMIF(61:61,G8,62:62)-SUMIF(61:61,C8,62:62)+100</f>
        <v>100</v>
      </c>
      <c r="I8" s="3193"/>
      <c r="J8" s="4289">
        <f>SUMIF(61:61,I8,62:62)-SUMIF(61:61,C8,62:62)+100</f>
        <v>100</v>
      </c>
      <c r="K8" s="3238"/>
      <c r="L8" s="2198"/>
      <c r="M8" s="2199"/>
      <c r="N8" s="2199"/>
      <c r="O8" s="2199"/>
      <c r="P8" s="4791" t="s">
        <v>1601</v>
      </c>
      <c r="Q8" s="4792"/>
      <c r="R8" s="4170" t="s">
        <v>13</v>
      </c>
      <c r="S8" s="3600">
        <f t="shared" si="0"/>
        <v>100</v>
      </c>
      <c r="T8" s="4170" t="s">
        <v>13</v>
      </c>
      <c r="U8" s="3600">
        <f t="shared" si="1"/>
        <v>100</v>
      </c>
      <c r="V8" s="4170" t="s">
        <v>13</v>
      </c>
      <c r="W8" s="3600">
        <f t="shared" si="2"/>
        <v>100</v>
      </c>
      <c r="X8" s="515"/>
      <c r="Y8" s="4793" t="s">
        <v>1601</v>
      </c>
      <c r="Z8" s="4794"/>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78">
        <f>SUMIF(63:63,E9,64:64)-SUMIF(63:63,C9,64:64)+100</f>
        <v>100</v>
      </c>
      <c r="G9" s="3223"/>
      <c r="H9" s="4290">
        <f>SUMIF(63:63,G9,64:64)-SUMIF(63:63,C9,64:64)+100</f>
        <v>100</v>
      </c>
      <c r="I9" s="3223"/>
      <c r="J9" s="4290">
        <f>SUMIF(63:63,I9,64:64)-SUMIF(63:63,C9,64:64)+100</f>
        <v>100</v>
      </c>
      <c r="K9" s="3238"/>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238"/>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239"/>
      <c r="L11" s="2202"/>
      <c r="M11" s="2197"/>
      <c r="N11" s="2197"/>
      <c r="O11" s="2197"/>
      <c r="P11" s="4765"/>
      <c r="Q11" s="3166" t="str">
        <f t="shared" si="6"/>
        <v>容积率</v>
      </c>
      <c r="R11" s="4170" t="s">
        <v>13</v>
      </c>
      <c r="S11" s="3600" t="e">
        <f t="shared" si="0"/>
        <v>#N/A</v>
      </c>
      <c r="T11" s="4170" t="s">
        <v>13</v>
      </c>
      <c r="U11" s="3600" t="e">
        <f t="shared" si="1"/>
        <v>#N/A</v>
      </c>
      <c r="V11" s="4170" t="s">
        <v>13</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79">
        <f>SUMIF(70:70,E12,71:71)-SUMIF(70:70,C12,71:71)+100</f>
        <v>100</v>
      </c>
      <c r="G12" s="3198"/>
      <c r="H12" s="4291">
        <f>SUMIF(70:70,G12,71:71)-SUMIF(70:70,C12,71:71)+100</f>
        <v>100</v>
      </c>
      <c r="I12" s="3198"/>
      <c r="J12" s="4291">
        <f>SUMIF(70:70,I12,71:71)-SUMIF(70:70,C12,71:71)+100</f>
        <v>100</v>
      </c>
      <c r="K12" s="3240"/>
      <c r="L12" s="2198"/>
      <c r="M12" s="2199"/>
      <c r="N12" s="2199"/>
      <c r="O12" s="2199"/>
      <c r="P12" s="4765"/>
      <c r="Q12" s="3166">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240"/>
      <c r="L13" s="2203"/>
      <c r="M13" s="2197"/>
      <c r="N13" s="2197"/>
      <c r="O13" s="2197"/>
      <c r="P13" s="4765"/>
      <c r="Q13" s="3166">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8"/>
      <c r="F14" s="4280">
        <f>SUMIF(74:74,E14,75:75)-SUMIF(74:74,C14,75:75)+100</f>
        <v>100</v>
      </c>
      <c r="G14" s="3198"/>
      <c r="H14" s="4287">
        <f>SUMIF(74:74,G14,75:75)-SUMIF(74:74,C14,75:75)+100</f>
        <v>100</v>
      </c>
      <c r="I14" s="3198"/>
      <c r="J14" s="4287">
        <f>SUMIF(74:74,I14,75:75)-SUMIF(74:74,C14,75:75)+100</f>
        <v>100</v>
      </c>
      <c r="K14" s="3240"/>
      <c r="L14" s="2203"/>
      <c r="M14" s="2197"/>
      <c r="N14" s="2197"/>
      <c r="O14" s="2197"/>
      <c r="P14" s="4765"/>
      <c r="Q14" s="3166">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299">
        <f>SUMIF(76:76,E16,77:77)-SUMIF(76:76,C16,77:77)+100</f>
        <v>100</v>
      </c>
      <c r="G15" s="3232"/>
      <c r="H15" s="4281">
        <f>SUMIF(76:76,G16,77:77)-SUMIF(76:76,C16,77:77)+100</f>
        <v>100</v>
      </c>
      <c r="I15" s="3226"/>
      <c r="J15" s="4281">
        <f>SUMIF(76:76,I16,77:77)-SUMIF(76:76,C16,77:77)+100</f>
        <v>100</v>
      </c>
      <c r="K15" s="3241"/>
      <c r="L15" s="2203"/>
      <c r="M15" s="2197"/>
      <c r="N15" s="2197"/>
      <c r="O15" s="2197"/>
      <c r="P15" s="4763" t="s">
        <v>1609</v>
      </c>
      <c r="Q15" s="1657" t="str">
        <f t="shared" si="6"/>
        <v>商业繁华度</v>
      </c>
      <c r="R15" s="4295" t="s">
        <v>13</v>
      </c>
      <c r="S15" s="3601">
        <f t="shared" si="0"/>
        <v>100</v>
      </c>
      <c r="T15" s="4295" t="s">
        <v>13</v>
      </c>
      <c r="U15" s="3601">
        <f t="shared" si="1"/>
        <v>100</v>
      </c>
      <c r="V15" s="4295" t="s">
        <v>13</v>
      </c>
      <c r="W15" s="3601">
        <f t="shared" si="2"/>
        <v>100</v>
      </c>
      <c r="X15" s="1002"/>
      <c r="Y15" s="4756" t="s">
        <v>1609</v>
      </c>
      <c r="Z15" s="1003" t="str">
        <f t="shared" si="7"/>
        <v>商业繁华度</v>
      </c>
      <c r="AA15" s="1000">
        <f t="shared" si="3"/>
        <v>1</v>
      </c>
      <c r="AB15" s="1000">
        <f t="shared" si="4"/>
        <v>1</v>
      </c>
      <c r="AC15" s="1000">
        <f t="shared" si="5"/>
        <v>1</v>
      </c>
    </row>
    <row r="16" spans="1:29" ht="15">
      <c r="A16" s="261"/>
      <c r="B16" s="3177"/>
      <c r="C16" s="3201"/>
      <c r="D16" s="3275"/>
      <c r="E16" s="3201"/>
      <c r="F16" s="4300"/>
      <c r="G16" s="3201"/>
      <c r="H16" s="4283"/>
      <c r="I16" s="3201"/>
      <c r="J16" s="4282"/>
      <c r="K16" s="3242"/>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27"/>
      <c r="F17" s="4301">
        <f>SUMIF(78:78,E18,79:79)-SUMIF(78:78,C18,79:79)+100</f>
        <v>100</v>
      </c>
      <c r="G17" s="3233"/>
      <c r="H17" s="4284">
        <f>SUMIF(78:78,G18,79:79)-SUMIF(78:78,C18,79:79)+100</f>
        <v>100</v>
      </c>
      <c r="I17" s="3227"/>
      <c r="J17" s="4284">
        <f>SUMIF(78:78,I18,79:79)-SUMIF(78:78,C18,79:79)+100</f>
        <v>100</v>
      </c>
      <c r="K17" s="3241"/>
      <c r="L17" s="2203"/>
      <c r="M17" s="2197"/>
      <c r="N17" s="2197"/>
      <c r="O17" s="2197"/>
      <c r="P17" s="4764"/>
      <c r="Q17" s="1657"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28"/>
      <c r="F18" s="4301"/>
      <c r="G18" s="3234"/>
      <c r="H18" s="4282"/>
      <c r="I18" s="3228"/>
      <c r="J18" s="4282"/>
      <c r="K18" s="3242"/>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1696</v>
      </c>
      <c r="C19" s="3202">
        <f>估价对象房地状况!C7</f>
        <v>0</v>
      </c>
      <c r="D19" s="3277">
        <v>100</v>
      </c>
      <c r="E19" s="3229"/>
      <c r="F19" s="4302">
        <f>SUMIF(80:80,E20,81:81)-SUMIF(80:80,C20,81:81)+100</f>
        <v>100</v>
      </c>
      <c r="G19" s="3235"/>
      <c r="H19" s="4283">
        <f>SUMIF(80:80,G20,81:81)-SUMIF(80:80,C20,81:81)+100</f>
        <v>100</v>
      </c>
      <c r="I19" s="3229"/>
      <c r="J19" s="4283">
        <f>SUMIF(80:80,I20,81:81)-SUMIF(80:80,C20,81:81)+100</f>
        <v>100</v>
      </c>
      <c r="K19" s="3241"/>
      <c r="L19" s="2203"/>
      <c r="M19" s="2197"/>
      <c r="N19" s="2197"/>
      <c r="O19" s="2197"/>
      <c r="P19" s="4764"/>
      <c r="Q19" s="1657"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0"/>
      <c r="F20" s="4300"/>
      <c r="G20" s="3236"/>
      <c r="H20" s="4282"/>
      <c r="I20" s="3230"/>
      <c r="J20" s="4282"/>
      <c r="K20" s="3242"/>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1697</v>
      </c>
      <c r="C21" s="3202">
        <f>估价对象房地状况!C8</f>
        <v>0</v>
      </c>
      <c r="D21" s="3277">
        <v>100</v>
      </c>
      <c r="E21" s="3229"/>
      <c r="F21" s="4302">
        <f>SUMIF(82:82,E22,83:83)-SUMIF(82:82,C22,83:83)+100</f>
        <v>100</v>
      </c>
      <c r="G21" s="3235"/>
      <c r="H21" s="4283">
        <f>SUMIF(82:82,G22,83:83)-SUMIF(82:82,C22,83:83)+100</f>
        <v>100</v>
      </c>
      <c r="I21" s="3229"/>
      <c r="J21" s="4283">
        <f>SUMIF(82:82,I22,83:83)-SUMIF(82:82,C22,83:83)+100</f>
        <v>100</v>
      </c>
      <c r="K21" s="3241"/>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0"/>
      <c r="G22" s="3201"/>
      <c r="H22" s="4282"/>
      <c r="I22" s="3201"/>
      <c r="J22" s="4282"/>
      <c r="K22" s="3243"/>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17">
        <f>估价对象房地状况!C9</f>
        <v>0</v>
      </c>
      <c r="D23" s="3276">
        <v>100</v>
      </c>
      <c r="E23" s="3227"/>
      <c r="F23" s="4301">
        <f>SUMIF(84:84,E24,85:85)-SUMIF(84:84,C24,85:85)+100</f>
        <v>100</v>
      </c>
      <c r="G23" s="3233"/>
      <c r="H23" s="4283">
        <f>SUMIF(84:84,G24,85:85)-SUMIF(84:84,C24,85:85)+100</f>
        <v>100</v>
      </c>
      <c r="I23" s="3227"/>
      <c r="J23" s="4283">
        <f>SUMIF(84:84,I24,85:85)-SUMIF(84:84,C24,85:85)+100</f>
        <v>100</v>
      </c>
      <c r="K23" s="3241"/>
      <c r="L23" s="2203"/>
      <c r="M23" s="2197"/>
      <c r="N23" s="2197"/>
      <c r="O23" s="2197"/>
      <c r="P23" s="4764"/>
      <c r="Q23" s="1657" t="str">
        <f>B23</f>
        <v>自然及人文环境</v>
      </c>
      <c r="R23" s="4295" t="s">
        <v>13</v>
      </c>
      <c r="S23" s="3601">
        <f>F23</f>
        <v>100</v>
      </c>
      <c r="T23" s="4295" t="s">
        <v>13</v>
      </c>
      <c r="U23" s="3601">
        <f>H23</f>
        <v>100</v>
      </c>
      <c r="V23" s="4295" t="s">
        <v>13</v>
      </c>
      <c r="W23" s="3601">
        <f>J23</f>
        <v>100</v>
      </c>
      <c r="X23" s="1002"/>
      <c r="Y23" s="4757"/>
      <c r="Z23" s="1003" t="str">
        <f>Q23</f>
        <v>自然及人文环境</v>
      </c>
      <c r="AA23" s="1000">
        <f t="shared" si="3"/>
        <v>1</v>
      </c>
      <c r="AB23" s="1000">
        <f t="shared" si="4"/>
        <v>1</v>
      </c>
      <c r="AC23" s="1000">
        <f t="shared" si="5"/>
        <v>1</v>
      </c>
    </row>
    <row r="24" spans="1:29" ht="15">
      <c r="A24" s="261"/>
      <c r="B24" s="3179"/>
      <c r="C24" s="3201"/>
      <c r="D24" s="3275"/>
      <c r="E24" s="3230"/>
      <c r="F24" s="4300"/>
      <c r="G24" s="3236"/>
      <c r="H24" s="4282"/>
      <c r="I24" s="3230"/>
      <c r="J24" s="4282"/>
      <c r="K24" s="3242"/>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1698</v>
      </c>
      <c r="C25" s="3218"/>
      <c r="D25" s="3272">
        <v>100</v>
      </c>
      <c r="E25" s="3218"/>
      <c r="F25" s="4288">
        <f>SUMIF(86:86,E25,87:87)-SUMIF(86:86,C25,87:87)+100</f>
        <v>100</v>
      </c>
      <c r="G25" s="3218"/>
      <c r="H25" s="4285">
        <f>SUMIF(86:86,G25,87:87)-SUMIF(86:86,C25,87:87)+100</f>
        <v>100</v>
      </c>
      <c r="I25" s="3218"/>
      <c r="J25" s="4285">
        <f>SUMIF(86:86,I25,87:87)-SUMIF(86:86,C25,87:87)+100</f>
        <v>100</v>
      </c>
      <c r="K25" s="3239"/>
      <c r="L25" s="2203"/>
      <c r="M25" s="2197"/>
      <c r="N25" s="2197"/>
      <c r="O25" s="2197"/>
      <c r="P25" s="4764"/>
      <c r="Q25" s="1657" t="str">
        <f t="shared" ref="Q25:Q46" si="11">B25</f>
        <v>临街状况</v>
      </c>
      <c r="R25" s="4295" t="s">
        <v>13</v>
      </c>
      <c r="S25" s="3601">
        <f>F25</f>
        <v>100</v>
      </c>
      <c r="T25" s="4295" t="s">
        <v>13</v>
      </c>
      <c r="U25" s="3601">
        <f>H25</f>
        <v>100</v>
      </c>
      <c r="V25" s="4295" t="s">
        <v>13</v>
      </c>
      <c r="W25" s="3601">
        <f>J25</f>
        <v>100</v>
      </c>
      <c r="X25" s="1002"/>
      <c r="Y25" s="4757"/>
      <c r="Z25" s="1003" t="str">
        <f>Q25</f>
        <v>临街状况</v>
      </c>
      <c r="AA25" s="1000">
        <f t="shared" si="3"/>
        <v>1</v>
      </c>
      <c r="AB25" s="1000">
        <f t="shared" si="4"/>
        <v>1</v>
      </c>
      <c r="AC25" s="1000">
        <f t="shared" si="5"/>
        <v>1</v>
      </c>
    </row>
    <row r="26" spans="1:29" ht="15">
      <c r="A26" s="261"/>
      <c r="B26" s="3181" t="s">
        <v>1699</v>
      </c>
      <c r="C26" s="3198"/>
      <c r="D26" s="3272">
        <v>100</v>
      </c>
      <c r="E26" s="3198"/>
      <c r="F26" s="4288">
        <f>SUMIF(88:88,E26,89:89)-SUMIF(88:88,C26,89:89)+100</f>
        <v>100</v>
      </c>
      <c r="G26" s="3198"/>
      <c r="H26" s="4285">
        <f>SUMIF(88:88,G26,89:89)-SUMIF(88:88,C26,89:89)+100</f>
        <v>100</v>
      </c>
      <c r="I26" s="3198"/>
      <c r="J26" s="4285">
        <f>SUMIF(88:88,I26,89:89)-SUMIF(88:88,C26,89:89)+100</f>
        <v>100</v>
      </c>
      <c r="K26" s="3240"/>
      <c r="L26" s="2203"/>
      <c r="M26" s="2197"/>
      <c r="N26" s="2197"/>
      <c r="O26" s="2197"/>
      <c r="P26" s="4764"/>
      <c r="Q26" s="1657" t="str">
        <f t="shared" si="11"/>
        <v>平面位置/可视性</v>
      </c>
      <c r="R26" s="4295" t="s">
        <v>13</v>
      </c>
      <c r="S26" s="3601">
        <f>F26</f>
        <v>100</v>
      </c>
      <c r="T26" s="4295" t="s">
        <v>13</v>
      </c>
      <c r="U26" s="3601">
        <f>H26</f>
        <v>100</v>
      </c>
      <c r="V26" s="4295" t="s">
        <v>13</v>
      </c>
      <c r="W26" s="3601">
        <f>J26</f>
        <v>100</v>
      </c>
      <c r="X26" s="1002"/>
      <c r="Y26" s="4757"/>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3">
        <f>SUMIF(90:90,E27,91:91)-SUMIF(90:90,C27,91:91)+100</f>
        <v>100</v>
      </c>
      <c r="G27" s="3219"/>
      <c r="H27" s="4286">
        <f>SUMIF(90:90,G27,91:91)-SUMIF(90:90,C27,91:91)+100</f>
        <v>100</v>
      </c>
      <c r="I27" s="3219"/>
      <c r="J27" s="4286">
        <f>SUMIF(90:90,I27,91:91)-SUMIF(90:90,C27,91:91)+100</f>
        <v>100</v>
      </c>
      <c r="K27" s="3239"/>
      <c r="L27" s="2198"/>
      <c r="M27" s="2199"/>
      <c r="N27" s="2199"/>
      <c r="O27" s="2199"/>
      <c r="P27" s="4764"/>
      <c r="Q27" s="3166" t="str">
        <f t="shared" si="11"/>
        <v>人流量</v>
      </c>
      <c r="R27" s="4170" t="s">
        <v>13</v>
      </c>
      <c r="S27" s="3600">
        <f>F27</f>
        <v>100</v>
      </c>
      <c r="T27" s="4170" t="s">
        <v>13</v>
      </c>
      <c r="U27" s="3600">
        <f>H27</f>
        <v>100</v>
      </c>
      <c r="V27" s="4170" t="s">
        <v>13</v>
      </c>
      <c r="W27" s="3600">
        <f>J27</f>
        <v>100</v>
      </c>
      <c r="X27" s="515"/>
      <c r="Y27" s="4757"/>
      <c r="Z27" s="28" t="str">
        <f>Q27</f>
        <v>人流量</v>
      </c>
      <c r="AA27" s="1000">
        <f>D27/F27</f>
        <v>1</v>
      </c>
      <c r="AB27" s="1000">
        <f>D27/H27</f>
        <v>1</v>
      </c>
      <c r="AC27" s="1000">
        <f>D27/J27</f>
        <v>1</v>
      </c>
    </row>
    <row r="28" spans="1:29" ht="15">
      <c r="A28" s="261"/>
      <c r="B28" s="3168" t="s">
        <v>1701</v>
      </c>
      <c r="C28" s="3218"/>
      <c r="D28" s="3272">
        <v>100</v>
      </c>
      <c r="E28" s="3218"/>
      <c r="F28" s="4288">
        <f>SUMIF(92:92,E28,93:93)-SUMIF(92:92,C28,93:93)+100</f>
        <v>100</v>
      </c>
      <c r="G28" s="3218"/>
      <c r="H28" s="4285">
        <f>SUMIF(92:92,G28,93:93)-SUMIF(92:92,C28,93:93)+100</f>
        <v>100</v>
      </c>
      <c r="I28" s="3218"/>
      <c r="J28" s="4285">
        <f>SUMIF(92:92,I28,93:93)-SUMIF(92:92,C28,93:93)+100</f>
        <v>100</v>
      </c>
      <c r="K28" s="3240"/>
      <c r="L28" s="2203"/>
      <c r="M28" s="2197"/>
      <c r="N28" s="2197"/>
      <c r="O28" s="2197"/>
      <c r="P28" s="4764"/>
      <c r="Q28" s="1657" t="str">
        <f t="shared" si="11"/>
        <v>楼层</v>
      </c>
      <c r="R28" s="4295" t="s">
        <v>13</v>
      </c>
      <c r="S28" s="3601">
        <f t="shared" ref="S28:S46" si="12">F28</f>
        <v>100</v>
      </c>
      <c r="T28" s="4295" t="s">
        <v>13</v>
      </c>
      <c r="U28" s="3601">
        <f t="shared" ref="U28:U46" si="13">H28</f>
        <v>100</v>
      </c>
      <c r="V28" s="4295" t="s">
        <v>13</v>
      </c>
      <c r="W28" s="3601">
        <f t="shared" ref="W28:W46" si="14">J28</f>
        <v>100</v>
      </c>
      <c r="X28" s="1002"/>
      <c r="Y28" s="4757"/>
      <c r="Z28" s="1003" t="str">
        <f t="shared" ref="Z28:Z46" si="15">Q28</f>
        <v>楼层</v>
      </c>
      <c r="AA28" s="1000">
        <f t="shared" si="3"/>
        <v>1</v>
      </c>
      <c r="AB28" s="1000">
        <f t="shared" si="4"/>
        <v>1</v>
      </c>
      <c r="AC28" s="1000">
        <f t="shared" si="5"/>
        <v>1</v>
      </c>
    </row>
    <row r="29" spans="1:29" ht="15">
      <c r="A29" s="261"/>
      <c r="B29" s="3181">
        <v>111</v>
      </c>
      <c r="C29" s="3198"/>
      <c r="D29" s="3272">
        <v>100</v>
      </c>
      <c r="E29" s="3198"/>
      <c r="F29" s="4288">
        <f>SUMIF(94:94,E29,95:95)-SUMIF(94:94,C29,95:95)+100</f>
        <v>100</v>
      </c>
      <c r="G29" s="3198"/>
      <c r="H29" s="4285">
        <f>SUMIF(94:94,G29,95:95)-SUMIF(94:94,C29,95:95)+100</f>
        <v>100</v>
      </c>
      <c r="I29" s="3198"/>
      <c r="J29" s="4285">
        <f>SUMIF(94:94,I29,95:95)-SUMIF(94:94,C29,95:95)+100</f>
        <v>100</v>
      </c>
      <c r="K29" s="3240"/>
      <c r="L29" s="2203"/>
      <c r="M29" s="2197"/>
      <c r="N29" s="2197"/>
      <c r="O29" s="2197"/>
      <c r="P29" s="4764"/>
      <c r="Q29" s="1657">
        <f t="shared" si="11"/>
        <v>111</v>
      </c>
      <c r="R29" s="4295" t="s">
        <v>13</v>
      </c>
      <c r="S29" s="3601">
        <f t="shared" si="12"/>
        <v>100</v>
      </c>
      <c r="T29" s="4295" t="s">
        <v>13</v>
      </c>
      <c r="U29" s="3601">
        <f t="shared" si="13"/>
        <v>100</v>
      </c>
      <c r="V29" s="4295" t="s">
        <v>13</v>
      </c>
      <c r="W29" s="3601">
        <f t="shared" si="14"/>
        <v>100</v>
      </c>
      <c r="X29" s="1002"/>
      <c r="Y29" s="4757"/>
      <c r="Z29" s="1003">
        <f t="shared" si="15"/>
        <v>111</v>
      </c>
      <c r="AA29" s="1000">
        <f t="shared" si="3"/>
        <v>1</v>
      </c>
      <c r="AB29" s="1000">
        <f t="shared" si="4"/>
        <v>1</v>
      </c>
      <c r="AC29" s="1000">
        <f t="shared" si="5"/>
        <v>1</v>
      </c>
    </row>
    <row r="30" spans="1:29" ht="15">
      <c r="A30" s="261"/>
      <c r="B30" s="3181">
        <v>111</v>
      </c>
      <c r="C30" s="3198"/>
      <c r="D30" s="3272">
        <v>100</v>
      </c>
      <c r="E30" s="3198"/>
      <c r="F30" s="4288">
        <f>SUMIF(96:96,E30,97:97)-SUMIF(96:96,C30,97:97)+100</f>
        <v>100</v>
      </c>
      <c r="G30" s="3198"/>
      <c r="H30" s="4285">
        <f>SUMIF(96:96,G30,97:97)-SUMIF(96:96,C30,97:97)+100</f>
        <v>100</v>
      </c>
      <c r="I30" s="3198"/>
      <c r="J30" s="4285">
        <f>SUMIF(96:96,I30,97:97)-SUMIF(96:96,C30,97:97)+100</f>
        <v>100</v>
      </c>
      <c r="K30" s="3240"/>
      <c r="L30" s="2203"/>
      <c r="M30" s="2197"/>
      <c r="N30" s="2197"/>
      <c r="O30" s="2197"/>
      <c r="P30" s="4764"/>
      <c r="Q30" s="1657">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000">
        <f t="shared" si="5"/>
        <v>1</v>
      </c>
    </row>
    <row r="31" spans="1:29" ht="15.75" thickBot="1">
      <c r="A31" s="267"/>
      <c r="B31" s="3181">
        <v>111</v>
      </c>
      <c r="C31" s="3199"/>
      <c r="D31" s="3273">
        <v>100</v>
      </c>
      <c r="E31" s="3198"/>
      <c r="F31" s="4280">
        <f>SUMIF(98:98,E31,99:99)-SUMIF(98:98,C31,99:99)+100</f>
        <v>100</v>
      </c>
      <c r="G31" s="3198"/>
      <c r="H31" s="4287">
        <f>SUMIF(98:98,G31,99:99)-SUMIF(98:98,C31,99:99)+100</f>
        <v>100</v>
      </c>
      <c r="I31" s="3198"/>
      <c r="J31" s="4287">
        <f>SUMIF(98:98,I31,99:99)-SUMIF(98:98,C31,99:99)+100</f>
        <v>100</v>
      </c>
      <c r="K31" s="3240"/>
      <c r="L31" s="2203"/>
      <c r="M31" s="2197"/>
      <c r="N31" s="2197"/>
      <c r="O31" s="2197"/>
      <c r="P31" s="4764"/>
      <c r="Q31" s="1657">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000">
        <f t="shared" si="5"/>
        <v>1</v>
      </c>
    </row>
    <row r="32" spans="1:29" ht="15">
      <c r="A32" s="269" t="s">
        <v>1612</v>
      </c>
      <c r="B32" s="3173" t="s">
        <v>1702</v>
      </c>
      <c r="C32" s="3205"/>
      <c r="D32" s="3279">
        <v>100</v>
      </c>
      <c r="E32" s="3205"/>
      <c r="F32" s="4288">
        <f>SUMIF(100:100,E32,101:101)-SUMIF(100:100,C32,101:101)+100</f>
        <v>100</v>
      </c>
      <c r="G32" s="3205"/>
      <c r="H32" s="4285">
        <f>SUMIF(100:100,G32,101:101)-SUMIF(100:100,C32,101:101)+100</f>
        <v>100</v>
      </c>
      <c r="I32" s="3205"/>
      <c r="J32" s="4292">
        <f>SUMIF(100:100,I32,101:101)-SUMIF(100:100,C32,101:101)+100</f>
        <v>100</v>
      </c>
      <c r="K32" s="3239"/>
      <c r="L32" s="2203"/>
      <c r="M32" s="2197"/>
      <c r="N32" s="2197"/>
      <c r="O32" s="2197"/>
      <c r="P32" s="4758" t="s">
        <v>1614</v>
      </c>
      <c r="Q32" s="1657" t="str">
        <f t="shared" si="11"/>
        <v>商业类型</v>
      </c>
      <c r="R32" s="4295" t="s">
        <v>13</v>
      </c>
      <c r="S32" s="3601">
        <f t="shared" si="12"/>
        <v>100</v>
      </c>
      <c r="T32" s="4295" t="s">
        <v>13</v>
      </c>
      <c r="U32" s="3601">
        <f t="shared" si="13"/>
        <v>100</v>
      </c>
      <c r="V32" s="4295" t="s">
        <v>13</v>
      </c>
      <c r="W32" s="3601">
        <f t="shared" si="14"/>
        <v>100</v>
      </c>
      <c r="X32" s="1002"/>
      <c r="Y32" s="4761"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79" t="e">
        <f>LOOKUP(E33,103:103,104:104)-LOOKUP(C33,103:103,104:104)+100</f>
        <v>#N/A</v>
      </c>
      <c r="G33" s="3196"/>
      <c r="H33" s="4291" t="e">
        <f>LOOKUP(G33,103:103,104:104)-LOOKUP(C33,103:103,104:104)+100</f>
        <v>#N/A</v>
      </c>
      <c r="I33" s="3196"/>
      <c r="J33" s="4291" t="e">
        <f>LOOKUP(I33,103:103,104:104)-LOOKUP(C33,103:103,104:104)+100</f>
        <v>#N/A</v>
      </c>
      <c r="K33" s="3240"/>
      <c r="L33" s="2202"/>
      <c r="M33" s="2204"/>
      <c r="N33" s="2204"/>
      <c r="O33" s="2204"/>
      <c r="P33" s="4759"/>
      <c r="Q33" s="3246" t="str">
        <f t="shared" si="11"/>
        <v>项目建筑规模</v>
      </c>
      <c r="R33" s="4296" t="s">
        <v>13</v>
      </c>
      <c r="S33" s="3602" t="e">
        <f t="shared" si="12"/>
        <v>#N/A</v>
      </c>
      <c r="T33" s="4296" t="s">
        <v>13</v>
      </c>
      <c r="U33" s="3602" t="e">
        <f t="shared" si="13"/>
        <v>#N/A</v>
      </c>
      <c r="V33" s="4296" t="s">
        <v>13</v>
      </c>
      <c r="W33" s="3602" t="e">
        <f t="shared" si="14"/>
        <v>#N/A</v>
      </c>
      <c r="X33" s="518"/>
      <c r="Y33" s="4761"/>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88">
        <f>SUMIF(105:105,E34,106:106)-SUMIF(105:105,C34,106:106)+100</f>
        <v>100</v>
      </c>
      <c r="G34" s="3207"/>
      <c r="H34" s="4285">
        <f>SUMIF(105:105,G34,106:106)-SUMIF(105:105,C34,106:106)+100</f>
        <v>100</v>
      </c>
      <c r="I34" s="3207"/>
      <c r="J34" s="4285">
        <f>SUMIF(105:105,I34,106:106)-SUMIF(105:105,C34,106:106)+100</f>
        <v>100</v>
      </c>
      <c r="K34" s="3239"/>
      <c r="L34" s="2203"/>
      <c r="M34" s="2197"/>
      <c r="N34" s="2197"/>
      <c r="O34" s="2197"/>
      <c r="P34" s="4759"/>
      <c r="Q34" s="1657" t="str">
        <f t="shared" si="11"/>
        <v>建筑结构</v>
      </c>
      <c r="R34" s="4295" t="s">
        <v>13</v>
      </c>
      <c r="S34" s="3601">
        <f t="shared" si="12"/>
        <v>100</v>
      </c>
      <c r="T34" s="4295" t="s">
        <v>13</v>
      </c>
      <c r="U34" s="3601">
        <f t="shared" si="13"/>
        <v>100</v>
      </c>
      <c r="V34" s="4295" t="s">
        <v>13</v>
      </c>
      <c r="W34" s="3601">
        <f t="shared" si="14"/>
        <v>100</v>
      </c>
      <c r="X34" s="1002"/>
      <c r="Y34" s="4761"/>
      <c r="Z34" s="1003" t="str">
        <f t="shared" si="15"/>
        <v>建筑结构</v>
      </c>
      <c r="AA34" s="1000">
        <f t="shared" si="3"/>
        <v>1</v>
      </c>
      <c r="AB34" s="1000">
        <f t="shared" si="4"/>
        <v>1</v>
      </c>
      <c r="AC34" s="1000">
        <f t="shared" si="5"/>
        <v>1</v>
      </c>
    </row>
    <row r="35" spans="1:29" ht="15">
      <c r="A35" s="287"/>
      <c r="B35" s="3168" t="s">
        <v>1703</v>
      </c>
      <c r="C35" s="3208"/>
      <c r="D35" s="3272">
        <v>100</v>
      </c>
      <c r="E35" s="3208"/>
      <c r="F35" s="4288">
        <f>SUMIF(107:107,E35,108:108)-SUMIF(107:107,C35,108:108)+100</f>
        <v>100</v>
      </c>
      <c r="G35" s="3208"/>
      <c r="H35" s="4285">
        <f>SUMIF(107:107,G35,108:108)-SUMIF(107:107,C35,108:108)+100</f>
        <v>100</v>
      </c>
      <c r="I35" s="3208"/>
      <c r="J35" s="4285">
        <f>SUMIF(107:107,I35,108:108)-SUMIF(107:107,C35,108:108)+100</f>
        <v>100</v>
      </c>
      <c r="K35" s="3239"/>
      <c r="L35" s="2203"/>
      <c r="M35" s="2197"/>
      <c r="N35" s="2197"/>
      <c r="O35" s="2197"/>
      <c r="P35" s="4759"/>
      <c r="Q35" s="1657" t="str">
        <f t="shared" si="11"/>
        <v>公共部分装修</v>
      </c>
      <c r="R35" s="4295" t="s">
        <v>13</v>
      </c>
      <c r="S35" s="3601">
        <f t="shared" si="12"/>
        <v>100</v>
      </c>
      <c r="T35" s="4295" t="s">
        <v>13</v>
      </c>
      <c r="U35" s="3601">
        <f t="shared" si="13"/>
        <v>100</v>
      </c>
      <c r="V35" s="4295" t="s">
        <v>13</v>
      </c>
      <c r="W35" s="3601">
        <f t="shared" si="14"/>
        <v>100</v>
      </c>
      <c r="X35" s="1002"/>
      <c r="Y35" s="4761"/>
      <c r="Z35" s="1003" t="str">
        <f t="shared" si="15"/>
        <v>公共部分装修</v>
      </c>
      <c r="AA35" s="1000">
        <f t="shared" si="3"/>
        <v>1</v>
      </c>
      <c r="AB35" s="1000">
        <f t="shared" si="4"/>
        <v>1</v>
      </c>
      <c r="AC35" s="1000">
        <f t="shared" si="5"/>
        <v>1</v>
      </c>
    </row>
    <row r="36" spans="1:29" ht="15">
      <c r="A36" s="287"/>
      <c r="B36" s="3168" t="s">
        <v>1704</v>
      </c>
      <c r="C36" s="3209"/>
      <c r="D36" s="3272">
        <v>100</v>
      </c>
      <c r="E36" s="3209"/>
      <c r="F36" s="4288" t="e">
        <f>LOOKUP(E36,110:110,111:111)-LOOKUP(C36,110:110,111:111)+100</f>
        <v>#N/A</v>
      </c>
      <c r="G36" s="3209"/>
      <c r="H36" s="4288" t="e">
        <f>LOOKUP(G36,110:110,111:111)-LOOKUP(C36,110:110,111:111)+100</f>
        <v>#N/A</v>
      </c>
      <c r="I36" s="3209"/>
      <c r="J36" s="4285" t="e">
        <f>LOOKUP(I36,110:110,111:111)-LOOKUP(C36,110:110,111:111)+100</f>
        <v>#N/A</v>
      </c>
      <c r="K36" s="3239"/>
      <c r="L36" s="2203"/>
      <c r="M36" s="2197"/>
      <c r="N36" s="2197"/>
      <c r="O36" s="2197"/>
      <c r="P36" s="4759"/>
      <c r="Q36" s="1657" t="str">
        <f t="shared" si="11"/>
        <v>成新度</v>
      </c>
      <c r="R36" s="4295" t="s">
        <v>13</v>
      </c>
      <c r="S36" s="3601" t="e">
        <f t="shared" si="12"/>
        <v>#N/A</v>
      </c>
      <c r="T36" s="4295" t="s">
        <v>13</v>
      </c>
      <c r="U36" s="3601" t="e">
        <f t="shared" si="13"/>
        <v>#N/A</v>
      </c>
      <c r="V36" s="4295" t="s">
        <v>13</v>
      </c>
      <c r="W36" s="3601" t="e">
        <f t="shared" si="14"/>
        <v>#N/A</v>
      </c>
      <c r="X36" s="1002"/>
      <c r="Y36" s="4761"/>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88">
        <f>SUMIF(112:112,E37,113:113)-SUMIF(112:112,C37,113:113)+100</f>
        <v>100</v>
      </c>
      <c r="G37" s="3208"/>
      <c r="H37" s="4285">
        <f>SUMIF(112:112,G37,113:113)-SUMIF(112:112,C37,113:113)+100</f>
        <v>100</v>
      </c>
      <c r="I37" s="3208"/>
      <c r="J37" s="4285">
        <f>SUMIF(112:112,I37,113:113)-SUMIF(112:112,C37,113:113)+100</f>
        <v>100</v>
      </c>
      <c r="K37" s="3239"/>
      <c r="L37" s="2198"/>
      <c r="M37" s="2199"/>
      <c r="N37" s="2199"/>
      <c r="O37" s="2199"/>
      <c r="P37" s="4759"/>
      <c r="Q37" s="3166" t="str">
        <f t="shared" si="11"/>
        <v>市政基础设施</v>
      </c>
      <c r="R37" s="4170" t="s">
        <v>13</v>
      </c>
      <c r="S37" s="3600">
        <f t="shared" si="12"/>
        <v>100</v>
      </c>
      <c r="T37" s="4170" t="s">
        <v>13</v>
      </c>
      <c r="U37" s="3600">
        <f t="shared" si="13"/>
        <v>100</v>
      </c>
      <c r="V37" s="4170" t="s">
        <v>13</v>
      </c>
      <c r="W37" s="3600">
        <f t="shared" si="14"/>
        <v>100</v>
      </c>
      <c r="X37" s="515"/>
      <c r="Y37" s="4761"/>
      <c r="Z37" s="28" t="str">
        <f t="shared" si="15"/>
        <v>市政基础设施</v>
      </c>
      <c r="AA37" s="516">
        <f t="shared" si="3"/>
        <v>1</v>
      </c>
      <c r="AB37" s="516">
        <f t="shared" si="4"/>
        <v>1</v>
      </c>
      <c r="AC37" s="516">
        <f t="shared" si="5"/>
        <v>1</v>
      </c>
    </row>
    <row r="38" spans="1:29" ht="15">
      <c r="A38" s="287"/>
      <c r="B38" s="3168" t="s">
        <v>1706</v>
      </c>
      <c r="C38" s="3208"/>
      <c r="D38" s="3272">
        <v>100</v>
      </c>
      <c r="E38" s="3208"/>
      <c r="F38" s="4288">
        <f>SUMIF(114:114,E38,115:115)-SUMIF(114:114,C38,115:115)+100</f>
        <v>100</v>
      </c>
      <c r="G38" s="3208"/>
      <c r="H38" s="4285">
        <f>SUMIF(114:114,G38,115:115)-SUMIF(114:114,C38,115:115)+100</f>
        <v>100</v>
      </c>
      <c r="I38" s="3208"/>
      <c r="J38" s="4285">
        <f>SUMIF(114:114,I38,115:115)-SUMIF(114:114,C38,115:115)+100</f>
        <v>100</v>
      </c>
      <c r="K38" s="3239"/>
      <c r="L38" s="2203"/>
      <c r="M38" s="2197"/>
      <c r="N38" s="2197"/>
      <c r="O38" s="2197"/>
      <c r="P38" s="4759" t="s">
        <v>1614</v>
      </c>
      <c r="Q38" s="1657" t="str">
        <f t="shared" si="11"/>
        <v>业态</v>
      </c>
      <c r="R38" s="4295" t="s">
        <v>13</v>
      </c>
      <c r="S38" s="3601">
        <f t="shared" si="12"/>
        <v>100</v>
      </c>
      <c r="T38" s="4295" t="s">
        <v>13</v>
      </c>
      <c r="U38" s="3601">
        <f t="shared" si="13"/>
        <v>100</v>
      </c>
      <c r="V38" s="4295" t="s">
        <v>13</v>
      </c>
      <c r="W38" s="3601">
        <f t="shared" si="14"/>
        <v>100</v>
      </c>
      <c r="X38" s="1002"/>
      <c r="Y38" s="4761" t="s">
        <v>1614</v>
      </c>
      <c r="Z38" s="1003" t="str">
        <f t="shared" si="15"/>
        <v>业态</v>
      </c>
      <c r="AA38" s="1000">
        <f t="shared" si="3"/>
        <v>1</v>
      </c>
      <c r="AB38" s="1000">
        <f t="shared" si="4"/>
        <v>1</v>
      </c>
      <c r="AC38" s="1000">
        <f t="shared" si="5"/>
        <v>1</v>
      </c>
    </row>
    <row r="39" spans="1:29" ht="15">
      <c r="A39" s="287"/>
      <c r="B39" s="3168" t="s">
        <v>1707</v>
      </c>
      <c r="C39" s="3208"/>
      <c r="D39" s="3272">
        <v>100</v>
      </c>
      <c r="E39" s="3208"/>
      <c r="F39" s="4288">
        <f>SUMIF(116:116,E39,117:117)-SUMIF(116:116,C39,117:117)+100</f>
        <v>100</v>
      </c>
      <c r="G39" s="3208"/>
      <c r="H39" s="4285">
        <f>SUMIF(116:116,G39,117:117)-SUMIF(116:116,C39,117:117)+100</f>
        <v>100</v>
      </c>
      <c r="I39" s="3208"/>
      <c r="J39" s="4285">
        <f>SUMIF(116:116,I39,117:117)-SUMIF(116:116,C39,117:117)+100</f>
        <v>100</v>
      </c>
      <c r="K39" s="3239"/>
      <c r="L39" s="2203"/>
      <c r="M39" s="2197"/>
      <c r="N39" s="2197"/>
      <c r="O39" s="2197"/>
      <c r="P39" s="4759"/>
      <c r="Q39" s="1657" t="str">
        <f t="shared" si="11"/>
        <v>层高</v>
      </c>
      <c r="R39" s="4295" t="s">
        <v>13</v>
      </c>
      <c r="S39" s="3601">
        <f t="shared" si="12"/>
        <v>100</v>
      </c>
      <c r="T39" s="4295" t="s">
        <v>13</v>
      </c>
      <c r="U39" s="3601">
        <f t="shared" si="13"/>
        <v>100</v>
      </c>
      <c r="V39" s="4295" t="s">
        <v>13</v>
      </c>
      <c r="W39" s="3601">
        <f t="shared" si="14"/>
        <v>100</v>
      </c>
      <c r="X39" s="1002"/>
      <c r="Y39" s="4761"/>
      <c r="Z39" s="1003" t="str">
        <f t="shared" si="15"/>
        <v>层高</v>
      </c>
      <c r="AA39" s="1000">
        <f t="shared" si="3"/>
        <v>1</v>
      </c>
      <c r="AB39" s="1000">
        <f t="shared" si="4"/>
        <v>1</v>
      </c>
      <c r="AC39" s="1000">
        <f t="shared" si="5"/>
        <v>1</v>
      </c>
    </row>
    <row r="40" spans="1:29" ht="15">
      <c r="A40" s="287"/>
      <c r="B40" s="3168" t="s">
        <v>1708</v>
      </c>
      <c r="C40" s="3220"/>
      <c r="D40" s="3272">
        <v>100</v>
      </c>
      <c r="E40" s="3231"/>
      <c r="F40" s="4288">
        <f>SUMIF(118:118,E40,119:119)-SUMIF(118:118,C40,119:119)+100</f>
        <v>100</v>
      </c>
      <c r="G40" s="3231"/>
      <c r="H40" s="4285">
        <f>SUMIF(118:118,G40,119:119)-SUMIF(118:118,C40,119:119)+100</f>
        <v>100</v>
      </c>
      <c r="I40" s="3231"/>
      <c r="J40" s="4285">
        <f>SUMIF(118:118,I40,119:119)-SUMIF(118:118,C40,119:119)+100</f>
        <v>100</v>
      </c>
      <c r="K40" s="3240"/>
      <c r="L40" s="2203"/>
      <c r="M40" s="2197"/>
      <c r="N40" s="2197"/>
      <c r="O40" s="2197"/>
      <c r="P40" s="4759"/>
      <c r="Q40" s="1657" t="str">
        <f t="shared" si="11"/>
        <v>单套建筑面积</v>
      </c>
      <c r="R40" s="4295" t="s">
        <v>13</v>
      </c>
      <c r="S40" s="3601">
        <f t="shared" si="12"/>
        <v>100</v>
      </c>
      <c r="T40" s="4295" t="s">
        <v>13</v>
      </c>
      <c r="U40" s="3601">
        <f t="shared" si="13"/>
        <v>100</v>
      </c>
      <c r="V40" s="4295" t="s">
        <v>13</v>
      </c>
      <c r="W40" s="3601">
        <f t="shared" si="14"/>
        <v>100</v>
      </c>
      <c r="X40" s="1002"/>
      <c r="Y40" s="4761"/>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88">
        <f>SUMIF(120:120,E41,121:121)-SUMIF(120:120,C41,121:121)+100</f>
        <v>100</v>
      </c>
      <c r="G41" s="3218"/>
      <c r="H41" s="4285">
        <f>SUMIF(120:120,G41,121:121)-SUMIF(120:120,C41,121:121)+100</f>
        <v>100</v>
      </c>
      <c r="I41" s="3218"/>
      <c r="J41" s="4285">
        <f>SUMIF(120:120,I41,121:121)-SUMIF(120:120,C41,121:121)+100</f>
        <v>100</v>
      </c>
      <c r="K41" s="3239"/>
      <c r="L41" s="2202"/>
      <c r="M41" s="2204"/>
      <c r="N41" s="2204"/>
      <c r="O41" s="2204"/>
      <c r="P41" s="4759"/>
      <c r="Q41" s="3246" t="str">
        <f t="shared" si="11"/>
        <v>进深比</v>
      </c>
      <c r="R41" s="4296" t="s">
        <v>13</v>
      </c>
      <c r="S41" s="3602">
        <f t="shared" si="12"/>
        <v>100</v>
      </c>
      <c r="T41" s="4296" t="s">
        <v>13</v>
      </c>
      <c r="U41" s="3602">
        <f t="shared" si="13"/>
        <v>100</v>
      </c>
      <c r="V41" s="4296" t="s">
        <v>13</v>
      </c>
      <c r="W41" s="3602">
        <f t="shared" si="14"/>
        <v>100</v>
      </c>
      <c r="X41" s="518"/>
      <c r="Y41" s="4761"/>
      <c r="Z41" s="519" t="str">
        <f t="shared" si="15"/>
        <v>进深比</v>
      </c>
      <c r="AA41" s="1000">
        <f t="shared" si="3"/>
        <v>1</v>
      </c>
      <c r="AB41" s="1000">
        <f t="shared" si="4"/>
        <v>1</v>
      </c>
      <c r="AC41" s="1000">
        <f t="shared" si="5"/>
        <v>1</v>
      </c>
    </row>
    <row r="42" spans="1:29" ht="15">
      <c r="A42" s="287"/>
      <c r="B42" s="3168" t="s">
        <v>1710</v>
      </c>
      <c r="C42" s="3208"/>
      <c r="D42" s="3272">
        <v>100</v>
      </c>
      <c r="E42" s="3208"/>
      <c r="F42" s="4288">
        <f>SUMIF(122:122,E42,123:123)-SUMIF(122:122,C42,123:123)+100</f>
        <v>100</v>
      </c>
      <c r="G42" s="3208"/>
      <c r="H42" s="4285">
        <f>SUMIF(122:122,G42,123:123)-SUMIF(122:122,C42,123:123)+100</f>
        <v>100</v>
      </c>
      <c r="I42" s="3208"/>
      <c r="J42" s="4285">
        <f>SUMIF(122:122,I42,123:123)-SUMIF(122:122,C42,123:123)+100</f>
        <v>100</v>
      </c>
      <c r="K42" s="3239"/>
      <c r="L42" s="2203"/>
      <c r="M42" s="2197"/>
      <c r="N42" s="2197"/>
      <c r="O42" s="2197"/>
      <c r="P42" s="4759"/>
      <c r="Q42" s="1657" t="str">
        <f t="shared" si="11"/>
        <v>内部装修</v>
      </c>
      <c r="R42" s="4295" t="s">
        <v>13</v>
      </c>
      <c r="S42" s="3601">
        <f t="shared" si="12"/>
        <v>100</v>
      </c>
      <c r="T42" s="4295" t="s">
        <v>13</v>
      </c>
      <c r="U42" s="3601">
        <f t="shared" si="13"/>
        <v>100</v>
      </c>
      <c r="V42" s="4295" t="s">
        <v>13</v>
      </c>
      <c r="W42" s="3601">
        <f t="shared" si="14"/>
        <v>100</v>
      </c>
      <c r="X42" s="1002"/>
      <c r="Y42" s="4761"/>
      <c r="Z42" s="1003" t="str">
        <f t="shared" si="15"/>
        <v>内部装修</v>
      </c>
      <c r="AA42" s="1000">
        <f t="shared" si="3"/>
        <v>1</v>
      </c>
      <c r="AB42" s="1000">
        <f t="shared" si="4"/>
        <v>1</v>
      </c>
      <c r="AC42" s="1000">
        <f t="shared" si="5"/>
        <v>1</v>
      </c>
    </row>
    <row r="43" spans="1:29" ht="15">
      <c r="A43" s="287"/>
      <c r="B43" s="3168" t="s">
        <v>1625</v>
      </c>
      <c r="C43" s="3208"/>
      <c r="D43" s="3272">
        <v>100</v>
      </c>
      <c r="E43" s="3208"/>
      <c r="F43" s="4288">
        <f>SUMIF(124:124,E43,125:125)-SUMIF(124:124,C43,125:125)+100</f>
        <v>100</v>
      </c>
      <c r="G43" s="3208"/>
      <c r="H43" s="4285">
        <f>SUMIF(124:124,G43,125:125)-SUMIF(124:124,C43,125:125)+100</f>
        <v>100</v>
      </c>
      <c r="I43" s="3208"/>
      <c r="J43" s="4285">
        <f>SUMIF(124:124,I43,125:125)-SUMIF(124:124,C43,125:125)+100</f>
        <v>100</v>
      </c>
      <c r="K43" s="3239"/>
      <c r="L43" s="2203"/>
      <c r="M43" s="2197"/>
      <c r="N43" s="2197"/>
      <c r="O43" s="2197"/>
      <c r="P43" s="4759"/>
      <c r="Q43" s="1657" t="str">
        <f t="shared" si="11"/>
        <v>内部装修维护情况</v>
      </c>
      <c r="R43" s="4295" t="s">
        <v>13</v>
      </c>
      <c r="S43" s="3601">
        <f t="shared" si="12"/>
        <v>100</v>
      </c>
      <c r="T43" s="4295" t="s">
        <v>13</v>
      </c>
      <c r="U43" s="3601">
        <f t="shared" si="13"/>
        <v>100</v>
      </c>
      <c r="V43" s="4295" t="s">
        <v>13</v>
      </c>
      <c r="W43" s="3601">
        <f t="shared" si="14"/>
        <v>100</v>
      </c>
      <c r="X43" s="1002"/>
      <c r="Y43" s="4761"/>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79">
        <f>SUMIF(126:126,E44,127:127)-SUMIF(126:126,C44,127:127)+100</f>
        <v>100</v>
      </c>
      <c r="G44" s="3198"/>
      <c r="H44" s="4291">
        <f>SUMIF(126:126,G44,127:127)-SUMIF(126:126,C44,127:127)+100</f>
        <v>100</v>
      </c>
      <c r="I44" s="3198"/>
      <c r="J44" s="4291">
        <f>SUMIF(126:126,I44,127:127)-SUMIF(126:126,C44,127:127)+100</f>
        <v>100</v>
      </c>
      <c r="K44" s="3240"/>
      <c r="L44" s="2198"/>
      <c r="M44" s="2199"/>
      <c r="N44" s="2199"/>
      <c r="O44" s="2199"/>
      <c r="P44" s="4759"/>
      <c r="Q44" s="3166">
        <f t="shared" si="11"/>
        <v>111</v>
      </c>
      <c r="R44" s="4170" t="s">
        <v>13</v>
      </c>
      <c r="S44" s="3600">
        <f t="shared" si="12"/>
        <v>100</v>
      </c>
      <c r="T44" s="4170" t="s">
        <v>13</v>
      </c>
      <c r="U44" s="3600">
        <f t="shared" si="13"/>
        <v>100</v>
      </c>
      <c r="V44" s="4170" t="s">
        <v>13</v>
      </c>
      <c r="W44" s="3600">
        <f t="shared" si="14"/>
        <v>100</v>
      </c>
      <c r="X44" s="515"/>
      <c r="Y44" s="4761"/>
      <c r="Z44" s="28">
        <f t="shared" si="15"/>
        <v>111</v>
      </c>
      <c r="AA44" s="516">
        <f t="shared" si="3"/>
        <v>1</v>
      </c>
      <c r="AB44" s="516">
        <f t="shared" si="4"/>
        <v>1</v>
      </c>
      <c r="AC44" s="516">
        <f t="shared" si="5"/>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240"/>
      <c r="L45" s="2203"/>
      <c r="M45" s="2197"/>
      <c r="N45" s="2197"/>
      <c r="O45" s="2197"/>
      <c r="P45" s="4759"/>
      <c r="Q45" s="1657">
        <f t="shared" si="11"/>
        <v>111</v>
      </c>
      <c r="R45" s="4295" t="s">
        <v>13</v>
      </c>
      <c r="S45" s="3601">
        <f t="shared" si="12"/>
        <v>100</v>
      </c>
      <c r="T45" s="4295" t="s">
        <v>13</v>
      </c>
      <c r="U45" s="3601">
        <f t="shared" si="13"/>
        <v>100</v>
      </c>
      <c r="V45" s="4295" t="s">
        <v>13</v>
      </c>
      <c r="W45" s="3601">
        <f t="shared" si="14"/>
        <v>100</v>
      </c>
      <c r="X45" s="1002"/>
      <c r="Y45" s="4761"/>
      <c r="Z45" s="1003">
        <f t="shared" si="15"/>
        <v>111</v>
      </c>
      <c r="AA45" s="1000">
        <f t="shared" si="3"/>
        <v>1</v>
      </c>
      <c r="AB45" s="1000">
        <f t="shared" si="4"/>
        <v>1</v>
      </c>
      <c r="AC45" s="1000">
        <f t="shared" si="5"/>
        <v>1</v>
      </c>
    </row>
    <row r="46" spans="1:29" ht="15.75" thickBot="1">
      <c r="A46" s="292"/>
      <c r="B46" s="3175">
        <v>111</v>
      </c>
      <c r="C46" s="3199"/>
      <c r="D46" s="3273">
        <v>100</v>
      </c>
      <c r="E46" s="3198"/>
      <c r="F46" s="4280">
        <f>SUMIF(130:130,E46,131:131)-SUMIF(130:130,C46,131:131)+100</f>
        <v>100</v>
      </c>
      <c r="G46" s="3198"/>
      <c r="H46" s="4287">
        <f>SUMIF(130:130,G46,131:131)-SUMIF(130:130,C46,131:131)+100</f>
        <v>100</v>
      </c>
      <c r="I46" s="3198"/>
      <c r="J46" s="4287">
        <f>SUMIF(130:130,I46,131:131)-SUMIF(130:130,C46,131:131)+100</f>
        <v>100</v>
      </c>
      <c r="K46" s="3240"/>
      <c r="L46" s="2203"/>
      <c r="M46" s="2197"/>
      <c r="N46" s="2197"/>
      <c r="O46" s="2197"/>
      <c r="P46" s="4760"/>
      <c r="Q46" s="1657">
        <f t="shared" si="11"/>
        <v>111</v>
      </c>
      <c r="R46" s="4295" t="s">
        <v>13</v>
      </c>
      <c r="S46" s="3601">
        <f t="shared" si="12"/>
        <v>100</v>
      </c>
      <c r="T46" s="4295" t="s">
        <v>13</v>
      </c>
      <c r="U46" s="3601">
        <f t="shared" si="13"/>
        <v>100</v>
      </c>
      <c r="V46" s="4295" t="s">
        <v>13</v>
      </c>
      <c r="W46" s="3601">
        <f t="shared" si="14"/>
        <v>100</v>
      </c>
      <c r="X46" s="1002"/>
      <c r="Y46" s="4762"/>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1711</v>
      </c>
      <c r="B48" s="297"/>
      <c r="C48" s="4293" t="e">
        <f>R49</f>
        <v>#DIV/0!</v>
      </c>
      <c r="D48" s="4462" t="s">
        <v>2053</v>
      </c>
      <c r="E48" s="4304" t="e">
        <f>R48</f>
        <v>#DIV/0!</v>
      </c>
      <c r="F48" s="3182"/>
      <c r="G48" s="4293" t="e">
        <f>T48</f>
        <v>#DIV/0!</v>
      </c>
      <c r="H48" s="3182"/>
      <c r="I48" s="4304" t="e">
        <f>V48</f>
        <v>#DIV/0!</v>
      </c>
      <c r="J48" s="3182"/>
      <c r="K48" s="3237">
        <f>F48+H48+J48</f>
        <v>0</v>
      </c>
      <c r="L48" s="2205"/>
      <c r="M48" s="2206"/>
      <c r="N48" s="2197"/>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1712</v>
      </c>
      <c r="B49" s="299"/>
      <c r="C49" s="4305" t="e">
        <f>R49</f>
        <v>#DIV/0!</v>
      </c>
      <c r="D49" s="848"/>
      <c r="E49" s="848"/>
      <c r="F49" s="848"/>
      <c r="G49" s="848"/>
      <c r="H49" s="848"/>
      <c r="I49" s="848"/>
      <c r="J49" s="848"/>
      <c r="K49" s="522"/>
      <c r="L49" s="2205"/>
      <c r="M49" s="2206"/>
      <c r="N49" s="2197"/>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4">
        <f>IF(C2="含税",D2,ROUND(D2/(1+F3),0))</f>
        <v>0</v>
      </c>
      <c r="C2" s="3161"/>
      <c r="D2" s="4306" t="b">
        <f>IF(E1="项目模式",IF(E2="——",ROUND(C43*D3/10000,0),ROUND(C43*D3/10000,0)-F2),IF(E1="单套模式",IF(E2="——",ROUND(C43*D3/10000,4),ROUND(C43*D3/10000,4)-F2)))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3" t="s">
        <v>3521</v>
      </c>
      <c r="F3" s="4464">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655"/>
      <c r="M4" s="656"/>
      <c r="N4" s="656"/>
      <c r="O4" s="656"/>
      <c r="P4" s="4774" t="s">
        <v>1693</v>
      </c>
      <c r="Q4" s="4775"/>
      <c r="R4" s="4780" t="s">
        <v>1689</v>
      </c>
      <c r="S4" s="4781"/>
      <c r="T4" s="4780" t="s">
        <v>1690</v>
      </c>
      <c r="U4" s="4781"/>
      <c r="V4" s="4786" t="s">
        <v>1691</v>
      </c>
      <c r="W4" s="478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655"/>
      <c r="M5" s="656"/>
      <c r="N5" s="656"/>
      <c r="O5" s="656"/>
      <c r="P5" s="4776"/>
      <c r="Q5" s="4777"/>
      <c r="R5" s="4782"/>
      <c r="S5" s="4783"/>
      <c r="T5" s="4782"/>
      <c r="U5" s="4783"/>
      <c r="V5" s="4786"/>
      <c r="W5" s="478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655"/>
      <c r="M6" s="656"/>
      <c r="N6" s="656"/>
      <c r="O6" s="656"/>
      <c r="P6" s="4778"/>
      <c r="Q6" s="4779"/>
      <c r="R6" s="4782"/>
      <c r="S6" s="4783"/>
      <c r="T6" s="4784"/>
      <c r="U6" s="4785"/>
      <c r="V6" s="4786"/>
      <c r="W6" s="4786"/>
      <c r="X6" s="1002"/>
      <c r="Y6" s="4799"/>
      <c r="Z6" s="4800"/>
      <c r="AA6" s="4769"/>
      <c r="AB6" s="4769"/>
      <c r="AC6" s="4769"/>
    </row>
    <row r="7" spans="1:29" s="49" customFormat="1" ht="15.75" thickBot="1">
      <c r="A7" s="249" t="s">
        <v>1597</v>
      </c>
      <c r="B7" s="250"/>
      <c r="C7" s="251">
        <f>'数据-取费表'!B2</f>
        <v>46041</v>
      </c>
      <c r="D7" s="3281">
        <v>100</v>
      </c>
      <c r="E7" s="252"/>
      <c r="F7" s="4308">
        <f>SUMIF(52:52,YEAR(E7)&amp;"-"&amp;MONTH(E7),53:53)</f>
        <v>0</v>
      </c>
      <c r="G7" s="252"/>
      <c r="H7" s="4319">
        <f>SUMIF(52:52,YEAR(G7)&amp;"-"&amp;MONTH(G7),53:53)</f>
        <v>0</v>
      </c>
      <c r="I7" s="252"/>
      <c r="J7" s="4319">
        <f>SUMIF(52:52,YEAR(I7)&amp;"-"&amp;MONTH(I7),53:53)</f>
        <v>0</v>
      </c>
      <c r="K7" s="411"/>
      <c r="L7" s="657"/>
      <c r="M7" s="658"/>
      <c r="N7" s="658"/>
      <c r="O7" s="658"/>
      <c r="P7" s="4791" t="s">
        <v>1598</v>
      </c>
      <c r="Q7" s="4801"/>
      <c r="R7" s="4327" t="s">
        <v>13</v>
      </c>
      <c r="S7" s="4330">
        <f t="shared" ref="S7:S15" si="0">F7</f>
        <v>0</v>
      </c>
      <c r="T7" s="4327" t="s">
        <v>13</v>
      </c>
      <c r="U7" s="4330">
        <f t="shared" ref="U7:U15" si="1">H7</f>
        <v>0</v>
      </c>
      <c r="V7" s="4327" t="s">
        <v>13</v>
      </c>
      <c r="W7" s="433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SUMIF(55:55,E8,56:56)-SUMIF(55:55,C8,56:56)+100</f>
        <v>100</v>
      </c>
      <c r="G8" s="253"/>
      <c r="H8" s="4319">
        <f>SUMIF(55:55,G8,56:56)-SUMIF(55:55,C8,56:56)+100</f>
        <v>100</v>
      </c>
      <c r="I8" s="253"/>
      <c r="J8" s="4319">
        <f>SUMIF(55:55,I8,56:56)-SUMIF(55:55,C8,56:56)+100</f>
        <v>100</v>
      </c>
      <c r="K8" s="411"/>
      <c r="L8" s="657"/>
      <c r="M8" s="658"/>
      <c r="N8" s="658"/>
      <c r="O8" s="658"/>
      <c r="P8" s="4791" t="s">
        <v>1601</v>
      </c>
      <c r="Q8" s="4792"/>
      <c r="R8" s="4327" t="s">
        <v>13</v>
      </c>
      <c r="S8" s="4330">
        <f t="shared" si="0"/>
        <v>100</v>
      </c>
      <c r="T8" s="4327" t="s">
        <v>13</v>
      </c>
      <c r="U8" s="4330">
        <f t="shared" si="1"/>
        <v>100</v>
      </c>
      <c r="V8" s="4327" t="s">
        <v>13</v>
      </c>
      <c r="W8" s="4330">
        <f t="shared" si="2"/>
        <v>100</v>
      </c>
      <c r="X8" s="515"/>
      <c r="Y8" s="4793" t="s">
        <v>1601</v>
      </c>
      <c r="Z8" s="4794"/>
      <c r="AA8" s="516">
        <f t="shared" ref="AA8:AA40" si="3">D8/F8</f>
        <v>1</v>
      </c>
      <c r="AB8" s="516">
        <f t="shared" ref="AB8:AB40" si="4">D8/H8</f>
        <v>1</v>
      </c>
      <c r="AC8" s="516">
        <f t="shared" ref="AC8:AC40" si="5">D8/J8</f>
        <v>1</v>
      </c>
    </row>
    <row r="9" spans="1:29" s="49" customFormat="1">
      <c r="A9" s="254" t="s">
        <v>1602</v>
      </c>
      <c r="B9" s="34" t="s">
        <v>1603</v>
      </c>
      <c r="C9" s="255"/>
      <c r="D9" s="3282">
        <v>100</v>
      </c>
      <c r="E9" s="257"/>
      <c r="F9" s="4309">
        <f>SUMIF(57:57,E9,58:58)-SUMIF(57:57,C9,58:58)+100</f>
        <v>100</v>
      </c>
      <c r="G9" s="256"/>
      <c r="H9" s="4309">
        <f>SUMIF(57:57,G9,58:58)-SUMIF(57:57,C9,58:58)+100</f>
        <v>100</v>
      </c>
      <c r="I9" s="256"/>
      <c r="J9" s="4309">
        <f>SUMIF(57:57,I9,58:58)-SUMIF(57:57,C9,58:58)+100</f>
        <v>100</v>
      </c>
      <c r="K9" s="411"/>
      <c r="L9" s="657"/>
      <c r="M9" s="658"/>
      <c r="N9" s="658"/>
      <c r="O9" s="659"/>
      <c r="P9" s="4754" t="s">
        <v>1604</v>
      </c>
      <c r="Q9" s="3457" t="str">
        <f t="shared" ref="Q9:Q15" si="6">B9</f>
        <v>用途</v>
      </c>
      <c r="R9" s="4327" t="s">
        <v>13</v>
      </c>
      <c r="S9" s="4330">
        <f t="shared" si="0"/>
        <v>100</v>
      </c>
      <c r="T9" s="4327" t="s">
        <v>13</v>
      </c>
      <c r="U9" s="4330">
        <f t="shared" si="1"/>
        <v>100</v>
      </c>
      <c r="V9" s="4327" t="s">
        <v>13</v>
      </c>
      <c r="W9" s="4330">
        <f t="shared" si="2"/>
        <v>100</v>
      </c>
      <c r="X9" s="515"/>
      <c r="Y9" s="4766"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0">
        <f>SUMIF(59:59,E10,60:60)-SUMIF(59:59,C10,60:60)+100</f>
        <v>100</v>
      </c>
      <c r="G10" s="2797"/>
      <c r="H10" s="4310">
        <f>SUMIF(59:59,G10,60:60)-SUMIF(59:59,C10,60:60)+100</f>
        <v>100</v>
      </c>
      <c r="I10" s="2796"/>
      <c r="J10" s="4310">
        <f>SUMIF(59:59,I10,60:60)-SUMIF(59:59,C10,60:60)+100</f>
        <v>100</v>
      </c>
      <c r="K10" s="411"/>
      <c r="L10" s="660"/>
      <c r="M10" s="661"/>
      <c r="N10" s="661"/>
      <c r="O10" s="662"/>
      <c r="P10" s="4754"/>
      <c r="Q10" s="3457" t="str">
        <f t="shared" si="6"/>
        <v>土地使用年限（年）</v>
      </c>
      <c r="R10" s="4327" t="s">
        <v>13</v>
      </c>
      <c r="S10" s="4330">
        <f t="shared" si="0"/>
        <v>100</v>
      </c>
      <c r="T10" s="4327" t="s">
        <v>13</v>
      </c>
      <c r="U10" s="4330">
        <f t="shared" si="1"/>
        <v>100</v>
      </c>
      <c r="V10" s="4327" t="s">
        <v>13</v>
      </c>
      <c r="W10" s="4330">
        <f t="shared" si="2"/>
        <v>100</v>
      </c>
      <c r="X10" s="515"/>
      <c r="Y10" s="4766"/>
      <c r="Z10" s="28" t="str">
        <f t="shared" si="7"/>
        <v>土地使用年限（年）</v>
      </c>
      <c r="AA10" s="516">
        <f t="shared" si="3"/>
        <v>1</v>
      </c>
      <c r="AB10" s="516">
        <f t="shared" si="4"/>
        <v>1</v>
      </c>
      <c r="AC10" s="516">
        <f t="shared" si="5"/>
        <v>1</v>
      </c>
    </row>
    <row r="11" spans="1:29" ht="15">
      <c r="A11" s="261"/>
      <c r="B11" s="259" t="s">
        <v>1607</v>
      </c>
      <c r="C11" s="262"/>
      <c r="D11" s="3283">
        <v>100</v>
      </c>
      <c r="E11" s="262"/>
      <c r="F11" s="4310">
        <f>LOOKUP(E11,62:62,63:63)-LOOKUP(C11,62:62,63:63)+100</f>
        <v>100</v>
      </c>
      <c r="G11" s="263"/>
      <c r="H11" s="4310">
        <f>LOOKUP(G11,62:62,63:63)-LOOKUP(C11,62:62,63:63)+100</f>
        <v>100</v>
      </c>
      <c r="I11" s="262"/>
      <c r="J11" s="4310">
        <f>LOOKUP(I11,62:62,63:63)-LOOKUP(C11,62:62,63:63)+100</f>
        <v>100</v>
      </c>
      <c r="K11" s="412"/>
      <c r="L11" s="663"/>
      <c r="M11" s="656"/>
      <c r="N11" s="656"/>
      <c r="O11" s="664"/>
      <c r="P11" s="4754"/>
      <c r="Q11" s="3457" t="str">
        <f t="shared" si="6"/>
        <v>容积率</v>
      </c>
      <c r="R11" s="4327" t="s">
        <v>13</v>
      </c>
      <c r="S11" s="4330">
        <f t="shared" si="0"/>
        <v>100</v>
      </c>
      <c r="T11" s="4327" t="s">
        <v>13</v>
      </c>
      <c r="U11" s="4330">
        <f t="shared" si="1"/>
        <v>100</v>
      </c>
      <c r="V11" s="4327" t="s">
        <v>13</v>
      </c>
      <c r="W11" s="4330">
        <f t="shared" si="2"/>
        <v>100</v>
      </c>
      <c r="X11" s="515"/>
      <c r="Y11" s="4766"/>
      <c r="Z11" s="28" t="str">
        <f t="shared" si="7"/>
        <v>容积率</v>
      </c>
      <c r="AA11" s="516">
        <f t="shared" si="3"/>
        <v>1</v>
      </c>
      <c r="AB11" s="516">
        <f t="shared" si="4"/>
        <v>1</v>
      </c>
      <c r="AC11" s="516">
        <f t="shared" si="5"/>
        <v>1</v>
      </c>
    </row>
    <row r="12" spans="1:29" s="49" customFormat="1" ht="15">
      <c r="A12" s="264"/>
      <c r="B12" s="1501">
        <v>111</v>
      </c>
      <c r="C12" s="265"/>
      <c r="D12" s="3284">
        <v>100</v>
      </c>
      <c r="E12" s="266"/>
      <c r="F12" s="4310">
        <f>SUMIF(64:64,E12,65:65)-SUMIF(64:64,C12,65:65)+100</f>
        <v>100</v>
      </c>
      <c r="G12" s="1567"/>
      <c r="H12" s="4310">
        <f>SUMIF(64:64,G12,65:65)-SUMIF(64:64,C12,65:65)+100</f>
        <v>100</v>
      </c>
      <c r="I12" s="285"/>
      <c r="J12" s="4310">
        <f>SUMIF(64:64,I12,65:65)-SUMIF(64:64,C12,65:65)+100</f>
        <v>100</v>
      </c>
      <c r="K12" s="413"/>
      <c r="L12" s="657"/>
      <c r="M12" s="658"/>
      <c r="N12" s="658"/>
      <c r="O12" s="659"/>
      <c r="P12" s="4754"/>
      <c r="Q12" s="3457">
        <f t="shared" si="6"/>
        <v>111</v>
      </c>
      <c r="R12" s="4327" t="s">
        <v>13</v>
      </c>
      <c r="S12" s="4330">
        <f t="shared" si="0"/>
        <v>100</v>
      </c>
      <c r="T12" s="4327" t="s">
        <v>13</v>
      </c>
      <c r="U12" s="4330">
        <f t="shared" si="1"/>
        <v>100</v>
      </c>
      <c r="V12" s="4327" t="s">
        <v>13</v>
      </c>
      <c r="W12" s="4330">
        <f t="shared" si="2"/>
        <v>100</v>
      </c>
      <c r="X12" s="515"/>
      <c r="Y12" s="4766"/>
      <c r="Z12" s="28">
        <f t="shared" si="7"/>
        <v>111</v>
      </c>
      <c r="AA12" s="516">
        <f>D12/F12</f>
        <v>1</v>
      </c>
      <c r="AB12" s="516">
        <f>D12/H12</f>
        <v>1</v>
      </c>
      <c r="AC12" s="516">
        <f>D12/J12</f>
        <v>1</v>
      </c>
    </row>
    <row r="13" spans="1:29" ht="15">
      <c r="A13" s="261"/>
      <c r="B13" s="1501">
        <v>111</v>
      </c>
      <c r="C13" s="266"/>
      <c r="D13" s="3285">
        <v>100</v>
      </c>
      <c r="E13" s="266"/>
      <c r="F13" s="4310">
        <f>SUMIF(66:66,E13,67:67)-SUMIF(66:66,C13,67:67)+100</f>
        <v>100</v>
      </c>
      <c r="G13" s="1567"/>
      <c r="H13" s="4314">
        <f>SUMIF(66:66,G13,67:67)-SUMIF(66:66,C13,67:67)+100</f>
        <v>100</v>
      </c>
      <c r="I13" s="285"/>
      <c r="J13" s="4314">
        <f>SUMIF(66:66,I13,67:67)-SUMIF(66:66,C13,67:67)+100</f>
        <v>100</v>
      </c>
      <c r="K13" s="413"/>
      <c r="L13" s="665"/>
      <c r="M13" s="656"/>
      <c r="N13" s="656"/>
      <c r="O13" s="664"/>
      <c r="P13" s="4754"/>
      <c r="Q13" s="3457">
        <f t="shared" si="6"/>
        <v>111</v>
      </c>
      <c r="R13" s="4327" t="s">
        <v>13</v>
      </c>
      <c r="S13" s="4330">
        <f t="shared" si="0"/>
        <v>100</v>
      </c>
      <c r="T13" s="4327" t="s">
        <v>13</v>
      </c>
      <c r="U13" s="4330">
        <f t="shared" si="1"/>
        <v>100</v>
      </c>
      <c r="V13" s="4327" t="s">
        <v>13</v>
      </c>
      <c r="W13" s="4330">
        <f t="shared" si="2"/>
        <v>100</v>
      </c>
      <c r="X13" s="515"/>
      <c r="Y13" s="4766"/>
      <c r="Z13" s="28">
        <f t="shared" si="7"/>
        <v>111</v>
      </c>
      <c r="AA13" s="516">
        <f t="shared" si="3"/>
        <v>1</v>
      </c>
      <c r="AB13" s="516">
        <f t="shared" si="4"/>
        <v>1</v>
      </c>
      <c r="AC13" s="516">
        <f t="shared" si="5"/>
        <v>1</v>
      </c>
    </row>
    <row r="14" spans="1:29" ht="15.75" thickBot="1">
      <c r="A14" s="267"/>
      <c r="B14" s="1502">
        <v>111</v>
      </c>
      <c r="C14" s="268"/>
      <c r="D14" s="3286">
        <v>100</v>
      </c>
      <c r="E14" s="268"/>
      <c r="F14" s="4311">
        <f>SUMIF(68:68,E14,69:69)-SUMIF(68:68,C14,69:69)+100</f>
        <v>100</v>
      </c>
      <c r="G14" s="1567"/>
      <c r="H14" s="4311">
        <f>SUMIF(68:68,G14,69:69)-SUMIF(68:68,C14,69:69)+100</f>
        <v>100</v>
      </c>
      <c r="I14" s="285"/>
      <c r="J14" s="4311">
        <f>SUMIF(68:68,I14,69:69)-SUMIF(68:68,C14,69:69)+100</f>
        <v>100</v>
      </c>
      <c r="K14" s="413"/>
      <c r="L14" s="665"/>
      <c r="M14" s="656"/>
      <c r="N14" s="656"/>
      <c r="O14" s="664"/>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2">
        <f>SUMIF(70:70,E16,71:71)-SUMIF(70:70,C16,71:71)+100</f>
        <v>100</v>
      </c>
      <c r="G15" s="271"/>
      <c r="H15" s="4312">
        <f>SUMIF(70:70,G16,71:71)-SUMIF(70:70,C16,71:71)+100</f>
        <v>100</v>
      </c>
      <c r="I15" s="270"/>
      <c r="J15" s="4312">
        <f>SUMIF(70:70,I16,71:71)-SUMIF(70:70,C16,71:71)+100</f>
        <v>100</v>
      </c>
      <c r="K15" s="414"/>
      <c r="L15" s="665"/>
      <c r="M15" s="656"/>
      <c r="N15" s="656"/>
      <c r="O15" s="664"/>
      <c r="P15" s="4807" t="s">
        <v>1609</v>
      </c>
      <c r="Q15" s="3460" t="str">
        <f t="shared" si="6"/>
        <v>产业集聚程度</v>
      </c>
      <c r="R15" s="4328" t="s">
        <v>13</v>
      </c>
      <c r="S15" s="4331">
        <f t="shared" si="0"/>
        <v>100</v>
      </c>
      <c r="T15" s="4328" t="s">
        <v>13</v>
      </c>
      <c r="U15" s="4331">
        <f t="shared" si="1"/>
        <v>100</v>
      </c>
      <c r="V15" s="4328" t="s">
        <v>13</v>
      </c>
      <c r="W15" s="4331">
        <f t="shared" si="2"/>
        <v>100</v>
      </c>
      <c r="X15" s="1002"/>
      <c r="Y15" s="4756" t="s">
        <v>1609</v>
      </c>
      <c r="Z15" s="1003" t="str">
        <f t="shared" si="7"/>
        <v>产业集聚程度</v>
      </c>
      <c r="AA15" s="1000">
        <f t="shared" si="3"/>
        <v>1</v>
      </c>
      <c r="AB15" s="1000">
        <f t="shared" si="4"/>
        <v>1</v>
      </c>
      <c r="AC15" s="1000">
        <f t="shared" si="5"/>
        <v>1</v>
      </c>
    </row>
    <row r="16" spans="1:29" ht="15">
      <c r="A16" s="261"/>
      <c r="B16" s="272"/>
      <c r="C16" s="273"/>
      <c r="D16" s="3288"/>
      <c r="E16" s="273"/>
      <c r="F16" s="4323"/>
      <c r="G16" s="273"/>
      <c r="H16" s="275"/>
      <c r="I16" s="273"/>
      <c r="J16" s="274"/>
      <c r="K16" s="415"/>
      <c r="L16" s="665"/>
      <c r="M16" s="656"/>
      <c r="N16" s="656"/>
      <c r="O16" s="664"/>
      <c r="P16" s="4808"/>
      <c r="Q16" s="3460"/>
      <c r="R16" s="4328"/>
      <c r="S16" s="4331"/>
      <c r="T16" s="4328"/>
      <c r="U16" s="4331"/>
      <c r="V16" s="4328"/>
      <c r="W16" s="4331"/>
      <c r="X16" s="1002"/>
      <c r="Y16" s="4757"/>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4">
        <f>SUMIF(72:72,E18,73:73)-SUMIF(72:72,C18,73:73)+100</f>
        <v>100</v>
      </c>
      <c r="G17" s="278"/>
      <c r="H17" s="4313">
        <f>SUMIF(72:72,G18,73:73)-SUMIF(72:72,C18,73:73)+100</f>
        <v>100</v>
      </c>
      <c r="I17" s="277"/>
      <c r="J17" s="4313">
        <f>SUMIF(72:72,I18,73:73)-SUMIF(72:72,C18,73:73)+100</f>
        <v>100</v>
      </c>
      <c r="K17" s="414"/>
      <c r="L17" s="665"/>
      <c r="M17" s="656"/>
      <c r="N17" s="656"/>
      <c r="O17" s="664"/>
      <c r="P17" s="4808"/>
      <c r="Q17" s="3460" t="str">
        <f>B17</f>
        <v>交通便捷度</v>
      </c>
      <c r="R17" s="4328" t="s">
        <v>13</v>
      </c>
      <c r="S17" s="4331">
        <f>F17</f>
        <v>100</v>
      </c>
      <c r="T17" s="4328" t="s">
        <v>13</v>
      </c>
      <c r="U17" s="4331">
        <f>H17</f>
        <v>100</v>
      </c>
      <c r="V17" s="4328" t="s">
        <v>13</v>
      </c>
      <c r="W17" s="4331">
        <f>J17</f>
        <v>100</v>
      </c>
      <c r="X17" s="1002"/>
      <c r="Y17" s="4757"/>
      <c r="Z17" s="1003" t="str">
        <f>Q17</f>
        <v>交通便捷度</v>
      </c>
      <c r="AA17" s="1000">
        <f t="shared" si="3"/>
        <v>1</v>
      </c>
      <c r="AB17" s="1000">
        <f t="shared" si="4"/>
        <v>1</v>
      </c>
      <c r="AC17" s="1000">
        <f t="shared" si="5"/>
        <v>1</v>
      </c>
    </row>
    <row r="18" spans="1:29" ht="15">
      <c r="A18" s="261"/>
      <c r="B18" s="279"/>
      <c r="C18" s="1506"/>
      <c r="D18" s="3289"/>
      <c r="E18" s="1508"/>
      <c r="F18" s="4324"/>
      <c r="G18" s="1507"/>
      <c r="H18" s="274"/>
      <c r="I18" s="1508"/>
      <c r="J18" s="274"/>
      <c r="K18" s="415"/>
      <c r="L18" s="665"/>
      <c r="M18" s="656"/>
      <c r="N18" s="656"/>
      <c r="O18" s="664"/>
      <c r="P18" s="4808"/>
      <c r="Q18" s="3460"/>
      <c r="R18" s="4328"/>
      <c r="S18" s="4331"/>
      <c r="T18" s="4328"/>
      <c r="U18" s="4331"/>
      <c r="V18" s="4328"/>
      <c r="W18" s="4331"/>
      <c r="X18" s="1002"/>
      <c r="Y18" s="4757"/>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5">
        <f>SUMIF(74:74,E20,75:75)-SUMIF(74:74,C20,75:75)+100</f>
        <v>100</v>
      </c>
      <c r="G19" s="281"/>
      <c r="H19" s="275">
        <f>SUMIF(74:74,G20,75:75)-SUMIF(74:74,C20,75:75)+100</f>
        <v>100</v>
      </c>
      <c r="I19" s="280"/>
      <c r="J19" s="275">
        <f>SUMIF(74:74,I20,75:75)-SUMIF(74:74,C20,75:75)+100</f>
        <v>100</v>
      </c>
      <c r="K19" s="414"/>
      <c r="L19" s="665"/>
      <c r="M19" s="656"/>
      <c r="N19" s="656"/>
      <c r="O19" s="664"/>
      <c r="P19" s="4808"/>
      <c r="Q19" s="3460" t="str">
        <f>B19</f>
        <v>公共配套设施</v>
      </c>
      <c r="R19" s="4328" t="s">
        <v>13</v>
      </c>
      <c r="S19" s="4331">
        <f>F19</f>
        <v>100</v>
      </c>
      <c r="T19" s="4328" t="s">
        <v>13</v>
      </c>
      <c r="U19" s="4331">
        <f>H19</f>
        <v>100</v>
      </c>
      <c r="V19" s="4328" t="s">
        <v>13</v>
      </c>
      <c r="W19" s="4331">
        <f>J19</f>
        <v>100</v>
      </c>
      <c r="X19" s="1002"/>
      <c r="Y19" s="4757"/>
      <c r="Z19" s="1003" t="str">
        <f>Q19</f>
        <v>公共配套设施</v>
      </c>
      <c r="AA19" s="1000">
        <f t="shared" si="3"/>
        <v>1</v>
      </c>
      <c r="AB19" s="1000">
        <f t="shared" si="4"/>
        <v>1</v>
      </c>
      <c r="AC19" s="1000">
        <f t="shared" si="5"/>
        <v>1</v>
      </c>
    </row>
    <row r="20" spans="1:29" ht="15">
      <c r="A20" s="261"/>
      <c r="B20" s="279"/>
      <c r="C20" s="273"/>
      <c r="D20" s="3288"/>
      <c r="E20" s="1504"/>
      <c r="F20" s="4323"/>
      <c r="G20" s="1503"/>
      <c r="H20" s="274"/>
      <c r="I20" s="1504"/>
      <c r="J20" s="274"/>
      <c r="K20" s="415"/>
      <c r="L20" s="665"/>
      <c r="M20" s="656"/>
      <c r="N20" s="656"/>
      <c r="O20" s="664"/>
      <c r="P20" s="4808"/>
      <c r="Q20" s="3460"/>
      <c r="R20" s="4328"/>
      <c r="S20" s="4331"/>
      <c r="T20" s="4328"/>
      <c r="U20" s="4331"/>
      <c r="V20" s="4328"/>
      <c r="W20" s="4331"/>
      <c r="X20" s="1002"/>
      <c r="Y20" s="4757"/>
      <c r="Z20" s="1003"/>
      <c r="AA20" s="1000">
        <v>1</v>
      </c>
      <c r="AB20" s="1000">
        <v>1</v>
      </c>
      <c r="AC20" s="1000">
        <v>1</v>
      </c>
    </row>
    <row r="21" spans="1:29" ht="28.5">
      <c r="A21" s="261"/>
      <c r="B21" s="835" t="s">
        <v>1731</v>
      </c>
      <c r="C21" s="1505" t="str">
        <f>估价对象房地状况!G6</f>
        <v>估价对象所在区域基础设施水平</v>
      </c>
      <c r="D21" s="3289">
        <v>100</v>
      </c>
      <c r="E21" s="280"/>
      <c r="F21" s="4325">
        <f>SUMIF(76:76,E22,77:77)-SUMIF(76:76,C22,77:77)+100</f>
        <v>100</v>
      </c>
      <c r="G21" s="281"/>
      <c r="H21" s="275">
        <f>SUMIF(76:76,G22,77:77)-SUMIF(76:76,C22,77:77)+100</f>
        <v>100</v>
      </c>
      <c r="I21" s="280"/>
      <c r="J21" s="275">
        <f>SUMIF(76:76,I22,77:77)-SUMIF(76:76,C22,77:77)+100</f>
        <v>100</v>
      </c>
      <c r="K21" s="414"/>
      <c r="L21" s="665"/>
      <c r="M21" s="656"/>
      <c r="N21" s="656"/>
      <c r="O21" s="664"/>
      <c r="P21" s="4808"/>
      <c r="Q21" s="3460" t="str">
        <f>B21</f>
        <v>基础设施水平</v>
      </c>
      <c r="R21" s="4328" t="s">
        <v>13</v>
      </c>
      <c r="S21" s="4331">
        <f>F21</f>
        <v>100</v>
      </c>
      <c r="T21" s="4328" t="s">
        <v>13</v>
      </c>
      <c r="U21" s="4331">
        <f>H21</f>
        <v>100</v>
      </c>
      <c r="V21" s="4328" t="s">
        <v>13</v>
      </c>
      <c r="W21" s="433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3"/>
      <c r="G22" s="273"/>
      <c r="H22" s="274"/>
      <c r="I22" s="273"/>
      <c r="J22" s="274"/>
      <c r="K22" s="834"/>
      <c r="L22" s="665"/>
      <c r="M22" s="656"/>
      <c r="N22" s="656"/>
      <c r="O22" s="664"/>
      <c r="P22" s="4808"/>
      <c r="Q22" s="3460"/>
      <c r="R22" s="4328"/>
      <c r="S22" s="4331"/>
      <c r="T22" s="4328"/>
      <c r="U22" s="4331"/>
      <c r="V22" s="4328"/>
      <c r="W22" s="4331"/>
      <c r="X22" s="1002"/>
      <c r="Y22" s="4757"/>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4">
        <f>SUMIF(78:78,E24,79:79)-SUMIF(78:78,C24,79:79)+100</f>
        <v>100</v>
      </c>
      <c r="G23" s="278"/>
      <c r="H23" s="275">
        <f>SUMIF(78:78,G24,79:79)-SUMIF(78:78,C24,79:79)+100</f>
        <v>100</v>
      </c>
      <c r="I23" s="277"/>
      <c r="J23" s="275">
        <f>SUMIF(78:78,I24,79:79)-SUMIF(78:78,C24,79:79)+100</f>
        <v>100</v>
      </c>
      <c r="K23" s="414"/>
      <c r="L23" s="665"/>
      <c r="M23" s="656"/>
      <c r="N23" s="656"/>
      <c r="O23" s="664"/>
      <c r="P23" s="4808"/>
      <c r="Q23" s="3460" t="str">
        <f>B23</f>
        <v>环境质量</v>
      </c>
      <c r="R23" s="4328" t="s">
        <v>13</v>
      </c>
      <c r="S23" s="4331">
        <f>F23</f>
        <v>100</v>
      </c>
      <c r="T23" s="4328" t="s">
        <v>13</v>
      </c>
      <c r="U23" s="4331">
        <f>H23</f>
        <v>100</v>
      </c>
      <c r="V23" s="4328" t="s">
        <v>13</v>
      </c>
      <c r="W23" s="4331">
        <f>J23</f>
        <v>100</v>
      </c>
      <c r="X23" s="1002"/>
      <c r="Y23" s="4757"/>
      <c r="Z23" s="1003" t="str">
        <f>Q23</f>
        <v>环境质量</v>
      </c>
      <c r="AA23" s="1000">
        <f t="shared" si="3"/>
        <v>1</v>
      </c>
      <c r="AB23" s="1000">
        <f t="shared" si="4"/>
        <v>1</v>
      </c>
      <c r="AC23" s="1000">
        <f t="shared" si="5"/>
        <v>1</v>
      </c>
    </row>
    <row r="24" spans="1:29" ht="15">
      <c r="A24" s="261"/>
      <c r="B24" s="835"/>
      <c r="C24" s="273"/>
      <c r="D24" s="3288"/>
      <c r="E24" s="1504"/>
      <c r="F24" s="4323"/>
      <c r="G24" s="1503"/>
      <c r="H24" s="274"/>
      <c r="I24" s="1504"/>
      <c r="J24" s="274"/>
      <c r="K24" s="415"/>
      <c r="L24" s="665"/>
      <c r="M24" s="656"/>
      <c r="N24" s="656"/>
      <c r="O24" s="664"/>
      <c r="P24" s="4808"/>
      <c r="Q24" s="3460"/>
      <c r="R24" s="4328"/>
      <c r="S24" s="4331"/>
      <c r="T24" s="4328"/>
      <c r="U24" s="4331"/>
      <c r="V24" s="4328"/>
      <c r="W24" s="4331"/>
      <c r="X24" s="1002"/>
      <c r="Y24" s="4757"/>
      <c r="Z24" s="1003"/>
      <c r="AA24" s="1000">
        <v>1</v>
      </c>
      <c r="AB24" s="1000">
        <v>1</v>
      </c>
      <c r="AC24" s="1000">
        <v>1</v>
      </c>
    </row>
    <row r="25" spans="1:29" ht="15">
      <c r="A25" s="245"/>
      <c r="B25" s="837">
        <v>111</v>
      </c>
      <c r="C25" s="266">
        <v>111</v>
      </c>
      <c r="D25" s="3285">
        <v>100</v>
      </c>
      <c r="E25" s="266"/>
      <c r="F25" s="4316">
        <f>SUMIF(80:80,E25,81:81)-SUMIF(80:80,C25,81:81)+100</f>
        <v>100</v>
      </c>
      <c r="G25" s="266"/>
      <c r="H25" s="4314">
        <f>SUMIF(80:80,G25,81:81)-SUMIF(80:80,C25,81:81)+100</f>
        <v>100</v>
      </c>
      <c r="I25" s="266"/>
      <c r="J25" s="4314">
        <f>SUMIF(80:80,I25,81:81)-SUMIF(80:80,C25,81:81)+100</f>
        <v>100</v>
      </c>
      <c r="K25" s="413"/>
      <c r="L25" s="665"/>
      <c r="M25" s="656"/>
      <c r="N25" s="656"/>
      <c r="O25" s="664"/>
      <c r="P25" s="4808"/>
      <c r="Q25" s="3460">
        <f>B25</f>
        <v>111</v>
      </c>
      <c r="R25" s="4328" t="s">
        <v>13</v>
      </c>
      <c r="S25" s="4331">
        <f>F25</f>
        <v>100</v>
      </c>
      <c r="T25" s="4328" t="s">
        <v>13</v>
      </c>
      <c r="U25" s="4331">
        <f>H25</f>
        <v>100</v>
      </c>
      <c r="V25" s="4328" t="s">
        <v>13</v>
      </c>
      <c r="W25" s="4331">
        <f>J25</f>
        <v>100</v>
      </c>
      <c r="X25" s="1002"/>
      <c r="Y25" s="4757"/>
      <c r="Z25" s="1003">
        <f>Q25</f>
        <v>111</v>
      </c>
      <c r="AA25" s="1000">
        <f t="shared" si="3"/>
        <v>1</v>
      </c>
      <c r="AB25" s="1000">
        <f t="shared" si="4"/>
        <v>1</v>
      </c>
      <c r="AC25" s="1000">
        <f t="shared" si="5"/>
        <v>1</v>
      </c>
    </row>
    <row r="26" spans="1:29" ht="15">
      <c r="A26" s="261"/>
      <c r="B26" s="837">
        <v>111</v>
      </c>
      <c r="C26" s="266">
        <v>111</v>
      </c>
      <c r="D26" s="3285">
        <v>100</v>
      </c>
      <c r="E26" s="266"/>
      <c r="F26" s="4316">
        <f>SUMIF(82:82,E26,83:83)-SUMIF(82:82,C26,83:83)+100</f>
        <v>100</v>
      </c>
      <c r="G26" s="266"/>
      <c r="H26" s="4314">
        <f>SUMIF(82:82,G26,83:83)-SUMIF(82:82,C26,83:83)+100</f>
        <v>100</v>
      </c>
      <c r="I26" s="266"/>
      <c r="J26" s="4314">
        <f>SUMIF(82:82,I26,83:83)-SUMIF(82:82,C26,83:83)+100</f>
        <v>100</v>
      </c>
      <c r="K26" s="413"/>
      <c r="L26" s="665"/>
      <c r="M26" s="656"/>
      <c r="N26" s="656"/>
      <c r="O26" s="664"/>
      <c r="P26" s="4808"/>
      <c r="Q26" s="3460">
        <f t="shared" ref="Q26:Q40" si="11">B26</f>
        <v>111</v>
      </c>
      <c r="R26" s="4328" t="s">
        <v>13</v>
      </c>
      <c r="S26" s="4331">
        <f>F26</f>
        <v>100</v>
      </c>
      <c r="T26" s="4328" t="s">
        <v>13</v>
      </c>
      <c r="U26" s="4331">
        <f>H26</f>
        <v>100</v>
      </c>
      <c r="V26" s="4328" t="s">
        <v>13</v>
      </c>
      <c r="W26" s="4331">
        <f>J26</f>
        <v>100</v>
      </c>
      <c r="X26" s="1002"/>
      <c r="Y26" s="4757"/>
      <c r="Z26" s="1003">
        <f>Q26</f>
        <v>111</v>
      </c>
      <c r="AA26" s="1000">
        <f t="shared" si="3"/>
        <v>1</v>
      </c>
      <c r="AB26" s="1000">
        <f t="shared" si="4"/>
        <v>1</v>
      </c>
      <c r="AC26" s="1000">
        <f t="shared" si="5"/>
        <v>1</v>
      </c>
    </row>
    <row r="27" spans="1:29" s="49" customFormat="1" ht="15">
      <c r="A27" s="264"/>
      <c r="B27" s="837">
        <v>111</v>
      </c>
      <c r="C27" s="266">
        <v>111</v>
      </c>
      <c r="D27" s="3291">
        <v>100</v>
      </c>
      <c r="E27" s="266"/>
      <c r="F27" s="4326">
        <f>SUMIF(84:84,E27,85:85)-SUMIF(84:84,C27,85:85)+100</f>
        <v>100</v>
      </c>
      <c r="G27" s="266"/>
      <c r="H27" s="4315">
        <f>SUMIF(84:84,G27,85:85)-SUMIF(84:84,C27,85:85)+100</f>
        <v>100</v>
      </c>
      <c r="I27" s="266"/>
      <c r="J27" s="4315">
        <f>SUMIF(84:84,I27,85:85)-SUMIF(84:84,C27,85:85)+100</f>
        <v>100</v>
      </c>
      <c r="K27" s="413"/>
      <c r="L27" s="657"/>
      <c r="M27" s="658"/>
      <c r="N27" s="658"/>
      <c r="O27" s="659"/>
      <c r="P27" s="4808"/>
      <c r="Q27" s="3457">
        <f t="shared" si="11"/>
        <v>111</v>
      </c>
      <c r="R27" s="4327" t="s">
        <v>13</v>
      </c>
      <c r="S27" s="4330">
        <f>F27</f>
        <v>100</v>
      </c>
      <c r="T27" s="4327" t="s">
        <v>13</v>
      </c>
      <c r="U27" s="4330">
        <f>H27</f>
        <v>100</v>
      </c>
      <c r="V27" s="4327" t="s">
        <v>13</v>
      </c>
      <c r="W27" s="4330">
        <f>J27</f>
        <v>100</v>
      </c>
      <c r="X27" s="515"/>
      <c r="Y27" s="4757"/>
      <c r="Z27" s="28">
        <f>Q27</f>
        <v>111</v>
      </c>
      <c r="AA27" s="1000">
        <f>D27/F27</f>
        <v>1</v>
      </c>
      <c r="AB27" s="1000">
        <f>D27/H27</f>
        <v>1</v>
      </c>
      <c r="AC27" s="1000">
        <f>D27/J27</f>
        <v>1</v>
      </c>
    </row>
    <row r="28" spans="1:29" ht="15.75" thickBot="1">
      <c r="A28" s="267"/>
      <c r="B28" s="837">
        <v>111</v>
      </c>
      <c r="C28" s="268">
        <v>111</v>
      </c>
      <c r="D28" s="3286">
        <v>100</v>
      </c>
      <c r="E28" s="266"/>
      <c r="F28" s="4318">
        <f>SUMIF(86:86,E28,87:87)-SUMIF(86:86,C28,87:87)+100</f>
        <v>100</v>
      </c>
      <c r="G28" s="285"/>
      <c r="H28" s="4311">
        <f>SUMIF(86:86,G28,87:87)-SUMIF(86:86,C28,87:87)+100</f>
        <v>100</v>
      </c>
      <c r="I28" s="285"/>
      <c r="J28" s="4311">
        <f>SUMIF(86:86,I28,87:87)-SUMIF(86:86,C28,87:87)+100</f>
        <v>100</v>
      </c>
      <c r="K28" s="413"/>
      <c r="L28" s="665"/>
      <c r="M28" s="656"/>
      <c r="N28" s="656"/>
      <c r="O28" s="664"/>
      <c r="P28" s="4808"/>
      <c r="Q28" s="3460">
        <f t="shared" si="11"/>
        <v>111</v>
      </c>
      <c r="R28" s="4328" t="s">
        <v>13</v>
      </c>
      <c r="S28" s="4331">
        <f t="shared" ref="S28:S40" si="12">F28</f>
        <v>100</v>
      </c>
      <c r="T28" s="4328" t="s">
        <v>13</v>
      </c>
      <c r="U28" s="4331">
        <f t="shared" ref="U28:U40" si="13">H28</f>
        <v>100</v>
      </c>
      <c r="V28" s="4328" t="s">
        <v>13</v>
      </c>
      <c r="W28" s="4331">
        <f t="shared" ref="W28:W40" si="14">J28</f>
        <v>100</v>
      </c>
      <c r="X28" s="1002"/>
      <c r="Y28" s="4757"/>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6">
        <f>SUMIF(88:88,E29,89:89)-SUMIF(88:88,C29,89:89)+100</f>
        <v>100</v>
      </c>
      <c r="G29" s="1564"/>
      <c r="H29" s="4314">
        <f>SUMIF(88:88,G29,89:89)-SUMIF(88:88,C29,89:89)+100</f>
        <v>100</v>
      </c>
      <c r="I29" s="1564"/>
      <c r="J29" s="4320">
        <f>SUMIF(88:88,I29,89:89)-SUMIF(88:88,C29,89:89)+100</f>
        <v>100</v>
      </c>
      <c r="K29" s="412"/>
      <c r="L29" s="665"/>
      <c r="M29" s="656"/>
      <c r="N29" s="656"/>
      <c r="O29" s="664"/>
      <c r="P29" s="4809" t="s">
        <v>1614</v>
      </c>
      <c r="Q29" s="3460" t="str">
        <f t="shared" si="11"/>
        <v>建筑类型</v>
      </c>
      <c r="R29" s="4328" t="s">
        <v>13</v>
      </c>
      <c r="S29" s="4331">
        <f t="shared" si="12"/>
        <v>100</v>
      </c>
      <c r="T29" s="4328" t="s">
        <v>13</v>
      </c>
      <c r="U29" s="4331">
        <f t="shared" si="13"/>
        <v>100</v>
      </c>
      <c r="V29" s="4328" t="s">
        <v>13</v>
      </c>
      <c r="W29" s="4331">
        <f t="shared" si="14"/>
        <v>100</v>
      </c>
      <c r="X29" s="1002"/>
      <c r="Y29" s="4761"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17" t="e">
        <f>LOOKUP(E30,91:91,92:92)-LOOKUP(C30,91:91,92:92)+100</f>
        <v>#N/A</v>
      </c>
      <c r="G30" s="262"/>
      <c r="H30" s="4310" t="e">
        <f>LOOKUP(G30,91:91,92:92)-LOOKUP(C30,91:91,92:92)+100</f>
        <v>#N/A</v>
      </c>
      <c r="I30" s="262"/>
      <c r="J30" s="4310" t="e">
        <f>LOOKUP(I30,91:91,92:92)-LOOKUP(C30,91:91,92:92)+100</f>
        <v>#N/A</v>
      </c>
      <c r="K30" s="413"/>
      <c r="L30" s="663"/>
      <c r="M30" s="666"/>
      <c r="N30" s="666"/>
      <c r="O30" s="667"/>
      <c r="P30" s="4810"/>
      <c r="Q30" s="3246" t="str">
        <f t="shared" si="11"/>
        <v>项目建筑规模</v>
      </c>
      <c r="R30" s="4329" t="s">
        <v>13</v>
      </c>
      <c r="S30" s="4332" t="e">
        <f t="shared" si="12"/>
        <v>#N/A</v>
      </c>
      <c r="T30" s="4329" t="s">
        <v>13</v>
      </c>
      <c r="U30" s="4332" t="e">
        <f t="shared" si="13"/>
        <v>#N/A</v>
      </c>
      <c r="V30" s="4329" t="s">
        <v>13</v>
      </c>
      <c r="W30" s="4332" t="e">
        <f t="shared" si="14"/>
        <v>#N/A</v>
      </c>
      <c r="X30" s="518"/>
      <c r="Y30" s="4761"/>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6">
        <f>SUMIF(93:93,E31,94:94)-SUMIF(93:93,C31,94:94)+100</f>
        <v>100</v>
      </c>
      <c r="G31" s="282"/>
      <c r="H31" s="4314">
        <f>SUMIF(93:93,G31,94:94)-SUMIF(93:93,C31,94:94)+100</f>
        <v>100</v>
      </c>
      <c r="I31" s="282"/>
      <c r="J31" s="4314">
        <f>SUMIF(93:93,I31,94:94)-SUMIF(93:93,C31,94:94)+100</f>
        <v>100</v>
      </c>
      <c r="K31" s="412"/>
      <c r="L31" s="665"/>
      <c r="M31" s="656"/>
      <c r="N31" s="656"/>
      <c r="O31" s="664"/>
      <c r="P31" s="4810"/>
      <c r="Q31" s="3460" t="str">
        <f t="shared" si="11"/>
        <v>建筑结构</v>
      </c>
      <c r="R31" s="4328" t="s">
        <v>13</v>
      </c>
      <c r="S31" s="4331">
        <f t="shared" si="12"/>
        <v>100</v>
      </c>
      <c r="T31" s="4328" t="s">
        <v>13</v>
      </c>
      <c r="U31" s="4331">
        <f t="shared" si="13"/>
        <v>100</v>
      </c>
      <c r="V31" s="4328" t="s">
        <v>13</v>
      </c>
      <c r="W31" s="4331">
        <f t="shared" si="14"/>
        <v>100</v>
      </c>
      <c r="X31" s="1002"/>
      <c r="Y31" s="4761"/>
      <c r="Z31" s="1003" t="str">
        <f t="shared" si="15"/>
        <v>建筑结构</v>
      </c>
      <c r="AA31" s="1000">
        <f t="shared" si="3"/>
        <v>1</v>
      </c>
      <c r="AB31" s="1000">
        <f t="shared" si="4"/>
        <v>1</v>
      </c>
      <c r="AC31" s="1000">
        <f t="shared" si="5"/>
        <v>1</v>
      </c>
    </row>
    <row r="32" spans="1:29" ht="15">
      <c r="A32" s="287"/>
      <c r="B32" s="259" t="s">
        <v>1703</v>
      </c>
      <c r="C32" s="282"/>
      <c r="D32" s="3285">
        <v>100</v>
      </c>
      <c r="E32" s="282"/>
      <c r="F32" s="4316">
        <f>SUMIF(95:95,E32,96:96)-SUMIF(95:95,C32,96:96)+100</f>
        <v>100</v>
      </c>
      <c r="G32" s="282"/>
      <c r="H32" s="4314">
        <f>SUMIF(95:95,G32,96:96)-SUMIF(95:95,C32,96:96)+100</f>
        <v>100</v>
      </c>
      <c r="I32" s="282"/>
      <c r="J32" s="4314">
        <f>SUMIF(95:95,I32,96:96)-SUMIF(95:95,C32,96:96)+100</f>
        <v>100</v>
      </c>
      <c r="K32" s="412"/>
      <c r="L32" s="665"/>
      <c r="M32" s="656"/>
      <c r="N32" s="656"/>
      <c r="O32" s="664"/>
      <c r="P32" s="4810"/>
      <c r="Q32" s="3460" t="str">
        <f t="shared" si="11"/>
        <v>公共部分装修</v>
      </c>
      <c r="R32" s="4328" t="s">
        <v>13</v>
      </c>
      <c r="S32" s="4331">
        <f t="shared" si="12"/>
        <v>100</v>
      </c>
      <c r="T32" s="4328" t="s">
        <v>13</v>
      </c>
      <c r="U32" s="4331">
        <f t="shared" si="13"/>
        <v>100</v>
      </c>
      <c r="V32" s="4328" t="s">
        <v>13</v>
      </c>
      <c r="W32" s="4331">
        <f t="shared" si="14"/>
        <v>100</v>
      </c>
      <c r="X32" s="1002"/>
      <c r="Y32" s="4761"/>
      <c r="Z32" s="1003" t="str">
        <f t="shared" si="15"/>
        <v>公共部分装修</v>
      </c>
      <c r="AA32" s="1000">
        <f t="shared" si="3"/>
        <v>1</v>
      </c>
      <c r="AB32" s="1000">
        <f t="shared" si="4"/>
        <v>1</v>
      </c>
      <c r="AC32" s="1000">
        <f t="shared" si="5"/>
        <v>1</v>
      </c>
    </row>
    <row r="33" spans="1:29" ht="15">
      <c r="A33" s="287"/>
      <c r="B33" s="259" t="s">
        <v>1704</v>
      </c>
      <c r="C33" s="285"/>
      <c r="D33" s="3285">
        <v>100</v>
      </c>
      <c r="E33" s="289"/>
      <c r="F33" s="4316" t="e">
        <f>LOOKUP(E33,98:98,99:99)-LOOKUP(C33,98:98,99:99)+100</f>
        <v>#N/A</v>
      </c>
      <c r="G33" s="289"/>
      <c r="H33" s="4316" t="e">
        <f>LOOKUP(G33,98:98,99:99)-LOOKUP(C33,98:98,99:99)+100</f>
        <v>#N/A</v>
      </c>
      <c r="I33" s="289"/>
      <c r="J33" s="4314" t="e">
        <f>LOOKUP(I33,98:98,99:99)-LOOKUP(C33,98:98,99:99)+100</f>
        <v>#N/A</v>
      </c>
      <c r="K33" s="412"/>
      <c r="L33" s="665"/>
      <c r="M33" s="656"/>
      <c r="N33" s="656"/>
      <c r="O33" s="664"/>
      <c r="P33" s="4810"/>
      <c r="Q33" s="3460" t="str">
        <f t="shared" si="11"/>
        <v>成新度</v>
      </c>
      <c r="R33" s="4328" t="s">
        <v>13</v>
      </c>
      <c r="S33" s="4331" t="e">
        <f t="shared" si="12"/>
        <v>#N/A</v>
      </c>
      <c r="T33" s="4328" t="s">
        <v>13</v>
      </c>
      <c r="U33" s="4331" t="e">
        <f t="shared" si="13"/>
        <v>#N/A</v>
      </c>
      <c r="V33" s="4328" t="s">
        <v>13</v>
      </c>
      <c r="W33" s="4331" t="e">
        <f t="shared" si="14"/>
        <v>#N/A</v>
      </c>
      <c r="X33" s="1002"/>
      <c r="Y33" s="4761"/>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6">
        <f>SUMIF(100:100,E34,101:101)-SUMIF(100:100,C34,101:101)+100</f>
        <v>100</v>
      </c>
      <c r="G34" s="282"/>
      <c r="H34" s="4314">
        <f>SUMIF(100:100,G34,101:101)-SUMIF(100:100,C34,101:101)+100</f>
        <v>100</v>
      </c>
      <c r="I34" s="282"/>
      <c r="J34" s="4314">
        <f>SUMIF(100:100,I34,101:101)-SUMIF(100:100,C34,101:101)+100</f>
        <v>100</v>
      </c>
      <c r="K34" s="412"/>
      <c r="L34" s="657"/>
      <c r="M34" s="658"/>
      <c r="N34" s="658"/>
      <c r="O34" s="659"/>
      <c r="P34" s="4810"/>
      <c r="Q34" s="3457" t="str">
        <f t="shared" si="11"/>
        <v>物业管理</v>
      </c>
      <c r="R34" s="4327" t="s">
        <v>13</v>
      </c>
      <c r="S34" s="4330">
        <f t="shared" si="12"/>
        <v>100</v>
      </c>
      <c r="T34" s="4327" t="s">
        <v>13</v>
      </c>
      <c r="U34" s="4330">
        <f t="shared" si="13"/>
        <v>100</v>
      </c>
      <c r="V34" s="4327" t="s">
        <v>13</v>
      </c>
      <c r="W34" s="4330">
        <f t="shared" si="14"/>
        <v>100</v>
      </c>
      <c r="X34" s="515"/>
      <c r="Y34" s="4761"/>
      <c r="Z34" s="28" t="str">
        <f t="shared" si="15"/>
        <v>物业管理</v>
      </c>
      <c r="AA34" s="516">
        <f t="shared" si="3"/>
        <v>1</v>
      </c>
      <c r="AB34" s="516">
        <f t="shared" si="4"/>
        <v>1</v>
      </c>
      <c r="AC34" s="516">
        <f t="shared" si="5"/>
        <v>1</v>
      </c>
    </row>
    <row r="35" spans="1:29" ht="15">
      <c r="A35" s="287"/>
      <c r="B35" s="259" t="s">
        <v>1705</v>
      </c>
      <c r="C35" s="282"/>
      <c r="D35" s="3285">
        <v>100</v>
      </c>
      <c r="E35" s="282"/>
      <c r="F35" s="4316">
        <f>SUMIF(102:102,E35,103:103)-SUMIF(102:102,C35,103:103)+100</f>
        <v>100</v>
      </c>
      <c r="G35" s="282"/>
      <c r="H35" s="4314">
        <f>SUMIF(102:102,G35,103:103)-SUMIF(102:102,C35,103:103)+100</f>
        <v>100</v>
      </c>
      <c r="I35" s="282"/>
      <c r="J35" s="4314">
        <f>SUMIF(102:102,I35,103:103)-SUMIF(102:102,C35,103:103)+100</f>
        <v>100</v>
      </c>
      <c r="K35" s="412"/>
      <c r="L35" s="665"/>
      <c r="M35" s="656"/>
      <c r="N35" s="656"/>
      <c r="O35" s="664"/>
      <c r="P35" s="4810" t="s">
        <v>1614</v>
      </c>
      <c r="Q35" s="3460" t="str">
        <f t="shared" si="11"/>
        <v>市政基础设施</v>
      </c>
      <c r="R35" s="4328" t="s">
        <v>13</v>
      </c>
      <c r="S35" s="4331">
        <f t="shared" si="12"/>
        <v>100</v>
      </c>
      <c r="T35" s="4328" t="s">
        <v>13</v>
      </c>
      <c r="U35" s="4331">
        <f t="shared" si="13"/>
        <v>100</v>
      </c>
      <c r="V35" s="4328" t="s">
        <v>13</v>
      </c>
      <c r="W35" s="4331">
        <f t="shared" si="14"/>
        <v>100</v>
      </c>
      <c r="X35" s="1002"/>
      <c r="Y35" s="4761"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6">
        <f>SUMIF(104:104,E36,105:105)-SUMIF(104:104,C36,105:105)+100</f>
        <v>100</v>
      </c>
      <c r="G36" s="282"/>
      <c r="H36" s="4314">
        <f>SUMIF(104:104,G36,105:105)-SUMIF(104:104,C36,105:105)+100</f>
        <v>100</v>
      </c>
      <c r="I36" s="282"/>
      <c r="J36" s="4314">
        <f>SUMIF(104:104,I36,105:105)-SUMIF(104:104,C36,105:105)+100</f>
        <v>100</v>
      </c>
      <c r="K36" s="412"/>
      <c r="L36" s="665"/>
      <c r="M36" s="656"/>
      <c r="N36" s="656"/>
      <c r="O36" s="664"/>
      <c r="P36" s="4810"/>
      <c r="Q36" s="3460" t="str">
        <f t="shared" si="11"/>
        <v>内部装修</v>
      </c>
      <c r="R36" s="4328" t="s">
        <v>13</v>
      </c>
      <c r="S36" s="4331">
        <f t="shared" si="12"/>
        <v>100</v>
      </c>
      <c r="T36" s="4328" t="s">
        <v>13</v>
      </c>
      <c r="U36" s="4331">
        <f t="shared" si="13"/>
        <v>100</v>
      </c>
      <c r="V36" s="4328" t="s">
        <v>13</v>
      </c>
      <c r="W36" s="4331">
        <f t="shared" si="14"/>
        <v>100</v>
      </c>
      <c r="X36" s="1002"/>
      <c r="Y36" s="4761"/>
      <c r="Z36" s="1003" t="str">
        <f t="shared" si="15"/>
        <v>内部装修</v>
      </c>
      <c r="AA36" s="1000">
        <f t="shared" si="3"/>
        <v>1</v>
      </c>
      <c r="AB36" s="1000">
        <f t="shared" si="4"/>
        <v>1</v>
      </c>
      <c r="AC36" s="1000">
        <f t="shared" si="5"/>
        <v>1</v>
      </c>
    </row>
    <row r="37" spans="1:29" ht="15">
      <c r="A37" s="287"/>
      <c r="B37" s="259" t="s">
        <v>1746</v>
      </c>
      <c r="C37" s="416"/>
      <c r="D37" s="3285">
        <v>100</v>
      </c>
      <c r="E37" s="416"/>
      <c r="F37" s="4316">
        <f>SUMIF(106:106,E37,107:107)-SUMIF(106:106,C37,107:107)+100</f>
        <v>100</v>
      </c>
      <c r="G37" s="416"/>
      <c r="H37" s="4314">
        <f>SUMIF(106:106,G37,107:107)-SUMIF(106:106,C37,107:107)+100</f>
        <v>100</v>
      </c>
      <c r="I37" s="416"/>
      <c r="J37" s="4314">
        <f>SUMIF(106:106,I37,107:107)-SUMIF(106:106,C37,107:107)+100</f>
        <v>100</v>
      </c>
      <c r="K37" s="412"/>
      <c r="L37" s="665"/>
      <c r="M37" s="656"/>
      <c r="N37" s="656"/>
      <c r="O37" s="664"/>
      <c r="P37" s="4810"/>
      <c r="Q37" s="3460" t="str">
        <f t="shared" si="11"/>
        <v>内部装修状况</v>
      </c>
      <c r="R37" s="4328" t="s">
        <v>13</v>
      </c>
      <c r="S37" s="4331">
        <f t="shared" si="12"/>
        <v>100</v>
      </c>
      <c r="T37" s="4328" t="s">
        <v>13</v>
      </c>
      <c r="U37" s="4331">
        <f t="shared" si="13"/>
        <v>100</v>
      </c>
      <c r="V37" s="4328" t="s">
        <v>13</v>
      </c>
      <c r="W37" s="4331">
        <f t="shared" si="14"/>
        <v>100</v>
      </c>
      <c r="X37" s="1002"/>
      <c r="Y37" s="4761"/>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6">
        <f>SUMIF(108:108,E38,109:109)-SUMIF(108:108,C38,109:109)+100</f>
        <v>100</v>
      </c>
      <c r="G38" s="285"/>
      <c r="H38" s="4314">
        <f>SUMIF(108:108,G38,109:109)-SUMIF(108:108,C38,109:109)+100</f>
        <v>100</v>
      </c>
      <c r="I38" s="285"/>
      <c r="J38" s="4314">
        <f>SUMIF(108:108,I38,109:1038)-SUMIF(108:108,C38,109:109)+100</f>
        <v>100</v>
      </c>
      <c r="K38" s="413"/>
      <c r="L38" s="663"/>
      <c r="M38" s="666"/>
      <c r="N38" s="666"/>
      <c r="O38" s="667"/>
      <c r="P38" s="4810"/>
      <c r="Q38" s="3246">
        <f t="shared" si="11"/>
        <v>111</v>
      </c>
      <c r="R38" s="4329" t="s">
        <v>13</v>
      </c>
      <c r="S38" s="4332">
        <f t="shared" si="12"/>
        <v>100</v>
      </c>
      <c r="T38" s="4329" t="s">
        <v>13</v>
      </c>
      <c r="U38" s="4332">
        <f t="shared" si="13"/>
        <v>100</v>
      </c>
      <c r="V38" s="4329" t="s">
        <v>13</v>
      </c>
      <c r="W38" s="4332">
        <f t="shared" si="14"/>
        <v>100</v>
      </c>
      <c r="X38" s="518"/>
      <c r="Y38" s="4761"/>
      <c r="Z38" s="519">
        <f t="shared" si="15"/>
        <v>111</v>
      </c>
      <c r="AA38" s="1000">
        <f t="shared" si="3"/>
        <v>1</v>
      </c>
      <c r="AB38" s="1000">
        <f t="shared" si="4"/>
        <v>1</v>
      </c>
      <c r="AC38" s="1000">
        <f t="shared" si="5"/>
        <v>1</v>
      </c>
    </row>
    <row r="39" spans="1:29" ht="15">
      <c r="A39" s="287"/>
      <c r="B39" s="837">
        <v>111</v>
      </c>
      <c r="C39" s="285"/>
      <c r="D39" s="3285">
        <v>100</v>
      </c>
      <c r="E39" s="266"/>
      <c r="F39" s="4316">
        <f>SUMIF(110:110,E39,111:111)-SUMIF(110:110,C39,111:111)+100</f>
        <v>100</v>
      </c>
      <c r="G39" s="285"/>
      <c r="H39" s="4314">
        <f>SUMIF(110:110,G39,111:111)-SUMIF(110:110,C39,111:111)+100</f>
        <v>100</v>
      </c>
      <c r="I39" s="285"/>
      <c r="J39" s="4314">
        <f>SUMIF(110:110,I39,111:111)-SUMIF(110:110,C39,111:111)+100</f>
        <v>100</v>
      </c>
      <c r="K39" s="413"/>
      <c r="L39" s="665"/>
      <c r="M39" s="656"/>
      <c r="N39" s="656"/>
      <c r="O39" s="664"/>
      <c r="P39" s="4810"/>
      <c r="Q39" s="3460">
        <f t="shared" si="11"/>
        <v>111</v>
      </c>
      <c r="R39" s="4328" t="s">
        <v>13</v>
      </c>
      <c r="S39" s="4331">
        <f t="shared" si="12"/>
        <v>100</v>
      </c>
      <c r="T39" s="4328" t="s">
        <v>13</v>
      </c>
      <c r="U39" s="4331">
        <f t="shared" si="13"/>
        <v>100</v>
      </c>
      <c r="V39" s="4328" t="s">
        <v>13</v>
      </c>
      <c r="W39" s="4331">
        <f t="shared" si="14"/>
        <v>100</v>
      </c>
      <c r="X39" s="1002"/>
      <c r="Y39" s="4761"/>
      <c r="Z39" s="1003">
        <f t="shared" si="15"/>
        <v>111</v>
      </c>
      <c r="AA39" s="1000">
        <f t="shared" si="3"/>
        <v>1</v>
      </c>
      <c r="AB39" s="1000">
        <f t="shared" si="4"/>
        <v>1</v>
      </c>
      <c r="AC39" s="1000">
        <f t="shared" si="5"/>
        <v>1</v>
      </c>
    </row>
    <row r="40" spans="1:29" ht="15.75" thickBot="1">
      <c r="A40" s="292"/>
      <c r="B40" s="1502">
        <v>111</v>
      </c>
      <c r="C40" s="268"/>
      <c r="D40" s="3286">
        <v>100</v>
      </c>
      <c r="E40" s="266"/>
      <c r="F40" s="4318">
        <f>SUMIF(112:112,E40,113:113)-SUMIF(112:112,C40,113:113)+100</f>
        <v>100</v>
      </c>
      <c r="G40" s="285"/>
      <c r="H40" s="4311">
        <f>SUMIF(112:112,G40,113:113)-SUMIF(112:112,C40,113:113)+100</f>
        <v>100</v>
      </c>
      <c r="I40" s="285"/>
      <c r="J40" s="4311">
        <f>SUMIF(112:112,I40,113:113)-SUMIF(112:112,C40,113:113)+100</f>
        <v>100</v>
      </c>
      <c r="K40" s="413"/>
      <c r="L40" s="665"/>
      <c r="M40" s="656"/>
      <c r="N40" s="656"/>
      <c r="O40" s="664"/>
      <c r="P40" s="4811"/>
      <c r="Q40" s="3460">
        <f t="shared" si="11"/>
        <v>111</v>
      </c>
      <c r="R40" s="4328" t="s">
        <v>13</v>
      </c>
      <c r="S40" s="4331">
        <f t="shared" si="12"/>
        <v>100</v>
      </c>
      <c r="T40" s="4328" t="s">
        <v>13</v>
      </c>
      <c r="U40" s="4331">
        <f t="shared" si="13"/>
        <v>100</v>
      </c>
      <c r="V40" s="4328" t="s">
        <v>13</v>
      </c>
      <c r="W40" s="4331">
        <f t="shared" si="14"/>
        <v>100</v>
      </c>
      <c r="X40" s="1002"/>
      <c r="Y40" s="4762"/>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54" t="str">
        <f>A41</f>
        <v>成交单价（元/平方米）</v>
      </c>
      <c r="Q41" s="4754"/>
      <c r="R41" s="4755">
        <f>E41</f>
        <v>0</v>
      </c>
      <c r="S41" s="4755"/>
      <c r="T41" s="4755">
        <f>G41</f>
        <v>0</v>
      </c>
      <c r="U41" s="4755"/>
      <c r="V41" s="4755">
        <f>I41</f>
        <v>0</v>
      </c>
      <c r="W41" s="4755"/>
      <c r="X41" s="504"/>
      <c r="Y41" s="520"/>
      <c r="Z41" s="504"/>
      <c r="AA41" s="504"/>
      <c r="AB41" s="504"/>
      <c r="AC41" s="504"/>
    </row>
    <row r="42" spans="1:29" ht="15.75" thickBot="1">
      <c r="A42" s="296" t="s">
        <v>1711</v>
      </c>
      <c r="B42" s="297"/>
      <c r="C42" s="4293" t="e">
        <f>R43</f>
        <v>#DIV/0!</v>
      </c>
      <c r="D42" s="4462" t="s">
        <v>2053</v>
      </c>
      <c r="E42" s="3267" t="e">
        <f>R42</f>
        <v>#DIV/0!</v>
      </c>
      <c r="F42" s="3182"/>
      <c r="G42" s="3266" t="e">
        <f>T42</f>
        <v>#DIV/0!</v>
      </c>
      <c r="H42" s="3182"/>
      <c r="I42" s="3267" t="e">
        <f>V42</f>
        <v>#DIV/0!</v>
      </c>
      <c r="J42" s="3182"/>
      <c r="K42" s="3237">
        <f>F42+H42+J42</f>
        <v>0</v>
      </c>
      <c r="L42" s="668"/>
      <c r="M42" s="669"/>
      <c r="N42" s="656"/>
      <c r="O42" s="669"/>
      <c r="P42" s="4754" t="str">
        <f>A42</f>
        <v>比较价值（元/平方米）</v>
      </c>
      <c r="Q42" s="4754"/>
      <c r="R42" s="4755" t="e">
        <f>IF(F1="售价",ROUND(PRODUCT(R41,AA7:AA40),0),ROUND(PRODUCT(R41,AA7:AA40),1))</f>
        <v>#DIV/0!</v>
      </c>
      <c r="S42" s="4755"/>
      <c r="T42" s="4755" t="e">
        <f>IF(F1="售价",ROUND(PRODUCT(T41,AB7:AB40),0),ROUND(PRODUCT(T41,AB7:AB40),1))</f>
        <v>#DIV/0!</v>
      </c>
      <c r="U42" s="4755"/>
      <c r="V42" s="4755" t="e">
        <f>IF(F1="售价",ROUND(PRODUCT(V41,AC7:AC40),0),ROUND(PRODUCT(V41,AC7:AC40),1))</f>
        <v>#DIV/0!</v>
      </c>
      <c r="W42" s="4755"/>
      <c r="X42" s="504"/>
      <c r="Y42" s="504"/>
      <c r="Z42" s="504"/>
      <c r="AA42" s="504"/>
      <c r="AB42" s="504"/>
      <c r="AC42" s="504"/>
    </row>
    <row r="43" spans="1:29" ht="15.75" thickBot="1">
      <c r="A43" s="298" t="s">
        <v>1712</v>
      </c>
      <c r="B43" s="299"/>
      <c r="C43" s="4305" t="e">
        <f>R43</f>
        <v>#DIV/0!</v>
      </c>
      <c r="D43" s="848"/>
      <c r="E43" s="848"/>
      <c r="F43" s="848"/>
      <c r="G43" s="848"/>
      <c r="H43" s="848"/>
      <c r="I43" s="848"/>
      <c r="J43" s="848"/>
      <c r="K43" s="522"/>
      <c r="L43" s="668"/>
      <c r="M43" s="669"/>
      <c r="N43" s="669"/>
      <c r="O43" s="669"/>
      <c r="P43" s="4751" t="str">
        <f>A43</f>
        <v>估价对象XX用房的比较价值（楼面单价，元/平方米）</v>
      </c>
      <c r="Q43" s="4752"/>
      <c r="R43" s="4753" t="e">
        <f>IF(F1="售价",ROUND(IF(D42="简单平均",AVERAGE(R42:V42),R42*F42+T42*H42+V42*J42),0),ROUND(IF(D42="简单平均",AVERAGE(R42:V42),R42*F42+T42*H42+V42*J42),1))</f>
        <v>#DIV/0!</v>
      </c>
      <c r="S43" s="4753"/>
      <c r="T43" s="4753"/>
      <c r="U43" s="4753"/>
      <c r="V43" s="4753"/>
      <c r="W43" s="4753"/>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IF(C2="含税",D2,ROUND(D2/(1+H3),0))</f>
        <v>0</v>
      </c>
      <c r="C2" s="3161"/>
      <c r="D2" s="4306" t="b">
        <f>IF(E1="项目模式",IF(E2="——",IF(B37="元/平方米",ROUND(C39*D3/10000,0),ROUND(F3*C39/10000,0)),IF(B37="元/平方米",ROUND(C39*D3/10000,0),ROUND(F3*C39/10000,0))-F2),IF(E1="单套模式",IF(E2="——",IF(B37="元/平方米",ROUND(C39*D3/10000,0),ROUND(F3*C39/10000,0)),IF(B37="元/平方米",ROUND(C39*D3/10000,0),ROUND(F3*C39/10000,0))-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3" t="s">
        <v>3521</v>
      </c>
      <c r="H3" s="4464">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SUMIF(48:48,YEAR(E7)&amp;"-"&amp;MONTH(E7),49:49)</f>
        <v>0</v>
      </c>
      <c r="G7" s="252"/>
      <c r="H7" s="4319">
        <f>SUMIF(48:48,YEAR(G7)&amp;"-"&amp;MONTH(G7),49:49)</f>
        <v>0</v>
      </c>
      <c r="I7" s="252"/>
      <c r="J7" s="4319">
        <f>SUMIF(48:48,YEAR(I7)&amp;"-"&amp;MONTH(I7),49:49)</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SUMIF(51:51,E8,52:52)-SUMIF(51:51,C8,52:52)+100</f>
        <v>100</v>
      </c>
      <c r="G8" s="253"/>
      <c r="H8" s="4319">
        <f>SUMIF(51:51,G8,52:52)-SUMIF(51:51,C8,52:52)+100</f>
        <v>100</v>
      </c>
      <c r="I8" s="253"/>
      <c r="J8" s="4319">
        <f>SUMIF(51:51,I8,52:52)-SUMIF(51:51,C8,52:52)+100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6" si="3">D8/F8</f>
        <v>1</v>
      </c>
      <c r="AB8" s="516">
        <f t="shared" ref="AB8:AB36" si="4">D8/H8</f>
        <v>1</v>
      </c>
      <c r="AC8" s="516">
        <f t="shared" ref="AC8:AC36" si="5">D8/J8</f>
        <v>1</v>
      </c>
    </row>
    <row r="9" spans="1:29" s="49" customFormat="1">
      <c r="A9" s="31" t="s">
        <v>1602</v>
      </c>
      <c r="B9" s="434" t="s">
        <v>1603</v>
      </c>
      <c r="C9" s="255"/>
      <c r="D9" s="3282">
        <v>100</v>
      </c>
      <c r="E9" s="257"/>
      <c r="F9" s="4309">
        <f>SUMIF(53:53,E9,54:54)-SUMIF(53:53,C9,54:54)+100</f>
        <v>100</v>
      </c>
      <c r="G9" s="256"/>
      <c r="H9" s="4309">
        <f>SUMIF(53:53,G9,54:54)-SUMIF(53:53,C9,54:54)+100</f>
        <v>100</v>
      </c>
      <c r="I9" s="256"/>
      <c r="J9" s="4309">
        <f>SUMIF(53:53,I9,54:54)-SUMIF(53:53,C9,54:54)+100</f>
        <v>100</v>
      </c>
      <c r="K9" s="411"/>
      <c r="L9" s="2198"/>
      <c r="M9" s="2199"/>
      <c r="N9" s="2199"/>
      <c r="O9" s="2199"/>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0">
        <f>SUMIF(55:55,E10,56:56)-SUMIF(55:55,C10,56:56)+100</f>
        <v>100</v>
      </c>
      <c r="G10" s="2797"/>
      <c r="H10" s="4310">
        <f>SUMIF(55:55,G10,56:56)-SUMIF(55:55,C10,56:56)+100</f>
        <v>100</v>
      </c>
      <c r="I10" s="2796"/>
      <c r="J10" s="4310">
        <f>SUMIF(55:55,I10,56:56)-SUMIF(55:55,C10,56:56)+100</f>
        <v>100</v>
      </c>
      <c r="K10" s="411"/>
      <c r="L10" s="2200"/>
      <c r="M10" s="2201"/>
      <c r="N10" s="2201"/>
      <c r="O10" s="2201"/>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437"/>
      <c r="B11" s="438">
        <v>111</v>
      </c>
      <c r="C11" s="265"/>
      <c r="D11" s="3283">
        <v>100</v>
      </c>
      <c r="E11" s="265"/>
      <c r="F11" s="4310">
        <f>SUMIF(57:57,E11,58:58)-SUMIF(57:57,C11,58:58)+100</f>
        <v>100</v>
      </c>
      <c r="G11" s="265"/>
      <c r="H11" s="4310">
        <f>SUMIF(57:57,G11,58:58)-SUMIF(57:57,C11,58:58)+100</f>
        <v>100</v>
      </c>
      <c r="I11" s="265"/>
      <c r="J11" s="4310">
        <f>SUMIF(57:57,I11,58:58)-SUMIF(57:57,C11,58:58)+100</f>
        <v>100</v>
      </c>
      <c r="K11" s="413"/>
      <c r="L11" s="2202"/>
      <c r="M11" s="2197"/>
      <c r="N11" s="2197"/>
      <c r="O11" s="2197"/>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439"/>
      <c r="B12" s="438">
        <v>111</v>
      </c>
      <c r="C12" s="265"/>
      <c r="D12" s="3284">
        <v>100</v>
      </c>
      <c r="E12" s="265"/>
      <c r="F12" s="4310">
        <f>SUMIF(59:59,E12,60:60)-SUMIF(59:59,C12,60:60)+100</f>
        <v>100</v>
      </c>
      <c r="G12" s="265"/>
      <c r="H12" s="4310">
        <f>SUMIF(59:59,G12,60:60)-SUMIF(59:59,C12,60:60)+100</f>
        <v>100</v>
      </c>
      <c r="I12" s="265"/>
      <c r="J12" s="4310">
        <f>SUMIF(59:59,I12,60:60)-SUMIF(59:59,C12,60:60)+100</f>
        <v>100</v>
      </c>
      <c r="K12" s="413"/>
      <c r="L12" s="2198"/>
      <c r="M12" s="2199"/>
      <c r="N12" s="2199"/>
      <c r="O12" s="2199"/>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440"/>
      <c r="B13" s="438">
        <v>111</v>
      </c>
      <c r="C13" s="266"/>
      <c r="D13" s="3285">
        <v>100</v>
      </c>
      <c r="E13" s="265"/>
      <c r="F13" s="4310">
        <f>SUMIF(61:61,E13,62:62)-SUMIF(61:61,C13,62:62)+100</f>
        <v>100</v>
      </c>
      <c r="G13" s="265"/>
      <c r="H13" s="4314">
        <f>SUMIF(61:61,G13,62:62)-SUMIF(61:61,C13,62:62)+100</f>
        <v>100</v>
      </c>
      <c r="I13" s="265"/>
      <c r="J13" s="4314">
        <f>SUMIF(61:61,I13,62:62)-SUMIF(61:61,C13,62:62)+100</f>
        <v>100</v>
      </c>
      <c r="K13" s="413"/>
      <c r="L13" s="2203"/>
      <c r="M13" s="2197"/>
      <c r="N13" s="2197"/>
      <c r="O13" s="2197"/>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2">
        <f>SUMIF(63:63,E15,64:64)-SUMIF(63:63,C15,64:64)+100</f>
        <v>100</v>
      </c>
      <c r="G14" s="271"/>
      <c r="H14" s="4312">
        <f>SUMIF(63:63,G15,64:64)-SUMIF(63:63,C15,64:64)+100</f>
        <v>100</v>
      </c>
      <c r="I14" s="270"/>
      <c r="J14" s="4312">
        <f>SUMIF(63:63,I15,64:64)-SUMIF(63:63,C15,64:64)+100</f>
        <v>100</v>
      </c>
      <c r="K14" s="414"/>
      <c r="L14" s="2203"/>
      <c r="M14" s="2197"/>
      <c r="N14" s="2197"/>
      <c r="O14" s="2197"/>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45"/>
      <c r="B15" s="441"/>
      <c r="C15" s="273"/>
      <c r="D15" s="3288"/>
      <c r="E15" s="273"/>
      <c r="F15" s="4323"/>
      <c r="G15" s="273"/>
      <c r="H15" s="275"/>
      <c r="I15" s="273"/>
      <c r="J15" s="274"/>
      <c r="K15" s="415"/>
      <c r="L15" s="2203"/>
      <c r="M15" s="2197"/>
      <c r="N15" s="2197"/>
      <c r="O15" s="2197"/>
      <c r="P15" s="4757"/>
      <c r="Q15" s="999"/>
      <c r="R15" s="4336"/>
      <c r="S15" s="4339"/>
      <c r="T15" s="4336"/>
      <c r="U15" s="4339"/>
      <c r="V15" s="4336"/>
      <c r="W15" s="4339"/>
      <c r="X15" s="1002"/>
      <c r="Y15" s="4757"/>
      <c r="Z15" s="1003"/>
      <c r="AA15" s="1000">
        <v>1</v>
      </c>
      <c r="AB15" s="1000">
        <v>1</v>
      </c>
      <c r="AC15" s="1000">
        <v>1</v>
      </c>
    </row>
    <row r="16" spans="1:29" ht="15">
      <c r="A16" s="245"/>
      <c r="B16" s="427" t="s">
        <v>1730</v>
      </c>
      <c r="C16" s="1505">
        <f>IF(B1="工业",估价对象房地状况!G5,估价对象房地状况!C7)</f>
        <v>0</v>
      </c>
      <c r="D16" s="3290">
        <v>100</v>
      </c>
      <c r="E16" s="280"/>
      <c r="F16" s="4325">
        <f>SUMIF(65:65,E17,66:66)-SUMIF(65:65,C17,66:66)+100</f>
        <v>100</v>
      </c>
      <c r="G16" s="281"/>
      <c r="H16" s="4313">
        <f>SUMIF(65:65,G17,66:66)-SUMIF(65:65,C17,66:66)+100</f>
        <v>100</v>
      </c>
      <c r="I16" s="280"/>
      <c r="J16" s="4313">
        <f>SUMIF(65:65,I17,66:66)-SUMIF(65:65,C17,66:66)+100</f>
        <v>100</v>
      </c>
      <c r="K16" s="414"/>
      <c r="L16" s="2203"/>
      <c r="M16" s="2197"/>
      <c r="N16" s="2197"/>
      <c r="O16" s="2197"/>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45"/>
      <c r="B17" s="428"/>
      <c r="C17" s="1506"/>
      <c r="D17" s="3288"/>
      <c r="E17" s="273"/>
      <c r="F17" s="4323"/>
      <c r="G17" s="273"/>
      <c r="H17" s="274"/>
      <c r="I17" s="273"/>
      <c r="J17" s="274"/>
      <c r="K17" s="415"/>
      <c r="L17" s="2203"/>
      <c r="M17" s="2197"/>
      <c r="N17" s="2197"/>
      <c r="O17" s="2197"/>
      <c r="P17" s="4757"/>
      <c r="Q17" s="999"/>
      <c r="R17" s="4336"/>
      <c r="S17" s="4339"/>
      <c r="T17" s="4336"/>
      <c r="U17" s="4339"/>
      <c r="V17" s="4336"/>
      <c r="W17" s="4339"/>
      <c r="X17" s="1002"/>
      <c r="Y17" s="4757"/>
      <c r="Z17" s="1003"/>
      <c r="AA17" s="1000">
        <v>1</v>
      </c>
      <c r="AB17" s="1000">
        <v>1</v>
      </c>
      <c r="AC17" s="1000">
        <v>1</v>
      </c>
    </row>
    <row r="18" spans="1:29" ht="15">
      <c r="A18" s="245"/>
      <c r="B18" s="429" t="s">
        <v>1731</v>
      </c>
      <c r="C18" s="1505">
        <f>IF(B1="工业",估价对象房地状况!G6,估价对象房地状况!C8)</f>
        <v>0</v>
      </c>
      <c r="D18" s="3289">
        <v>100</v>
      </c>
      <c r="E18" s="277"/>
      <c r="F18" s="4325">
        <f>SUMIF(67:67,E19,68:68)-SUMIF(67:67,C19,68:68)+100</f>
        <v>100</v>
      </c>
      <c r="G18" s="278"/>
      <c r="H18" s="4313">
        <f>SUMIF(67:67,G19,68:68)-SUMIF(67:67,C19,68:68)+100</f>
        <v>100</v>
      </c>
      <c r="I18" s="277"/>
      <c r="J18" s="4313">
        <f>SUMIF(67:67,I19,68:68)-SUMIF(67:67,C19,68:68)+100</f>
        <v>100</v>
      </c>
      <c r="K18" s="414"/>
      <c r="L18" s="2203"/>
      <c r="M18" s="2197"/>
      <c r="N18" s="2197"/>
      <c r="O18" s="2197"/>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4"/>
      <c r="G19" s="1506"/>
      <c r="H19" s="274"/>
      <c r="I19" s="273"/>
      <c r="J19" s="274"/>
      <c r="K19" s="834"/>
      <c r="L19" s="2203"/>
      <c r="M19" s="2197"/>
      <c r="N19" s="2197"/>
      <c r="O19" s="2197"/>
      <c r="P19" s="4757"/>
      <c r="Q19" s="999"/>
      <c r="R19" s="4336"/>
      <c r="S19" s="4339"/>
      <c r="T19" s="4336"/>
      <c r="U19" s="4339"/>
      <c r="V19" s="4336"/>
      <c r="W19" s="4339"/>
      <c r="X19" s="1002"/>
      <c r="Y19" s="4757"/>
      <c r="Z19" s="1003"/>
      <c r="AA19" s="1000">
        <v>1</v>
      </c>
      <c r="AB19" s="1000">
        <v>1</v>
      </c>
      <c r="AC19" s="1000">
        <v>1</v>
      </c>
    </row>
    <row r="20" spans="1:29" ht="15">
      <c r="A20" s="245"/>
      <c r="B20" s="427" t="s">
        <v>1752</v>
      </c>
      <c r="C20" s="1505">
        <f>IF(B1="工业",估价对象房地状况!G7,估价对象房地状况!C9)</f>
        <v>0</v>
      </c>
      <c r="D20" s="3290">
        <v>100</v>
      </c>
      <c r="E20" s="280"/>
      <c r="F20" s="4325">
        <f>SUMIF(69:69,E21,70:70)-SUMIF(69:69,C21,70:70)+100</f>
        <v>100</v>
      </c>
      <c r="G20" s="281"/>
      <c r="H20" s="275">
        <f>SUMIF(69:69,G21,70:70)-SUMIF(69:69,C21,70:70)+100</f>
        <v>100</v>
      </c>
      <c r="I20" s="277"/>
      <c r="J20" s="275">
        <f>SUMIF(69:69,I21,70:70)-SUMIF(69:69,C21,70:70)+100</f>
        <v>100</v>
      </c>
      <c r="K20" s="414"/>
      <c r="L20" s="2203"/>
      <c r="M20" s="2197"/>
      <c r="N20" s="2197"/>
      <c r="O20" s="2197"/>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45"/>
      <c r="B21" s="428"/>
      <c r="C21" s="273"/>
      <c r="D21" s="3288"/>
      <c r="E21" s="273"/>
      <c r="F21" s="4323"/>
      <c r="G21" s="273"/>
      <c r="H21" s="274"/>
      <c r="I21" s="273"/>
      <c r="J21" s="274"/>
      <c r="K21" s="415"/>
      <c r="L21" s="2203"/>
      <c r="M21" s="2197"/>
      <c r="N21" s="2197"/>
      <c r="O21" s="2197"/>
      <c r="P21" s="4757"/>
      <c r="Q21" s="999"/>
      <c r="R21" s="4336"/>
      <c r="S21" s="4339"/>
      <c r="T21" s="4336"/>
      <c r="U21" s="4339"/>
      <c r="V21" s="4336"/>
      <c r="W21" s="4339"/>
      <c r="X21" s="1002"/>
      <c r="Y21" s="4757"/>
      <c r="Z21" s="1003"/>
      <c r="AA21" s="1000">
        <v>1</v>
      </c>
      <c r="AB21" s="1000">
        <v>1</v>
      </c>
      <c r="AC21" s="1000">
        <v>1</v>
      </c>
    </row>
    <row r="22" spans="1:29" ht="15">
      <c r="A22" s="245"/>
      <c r="B22" s="427" t="s">
        <v>1753</v>
      </c>
      <c r="C22" s="416"/>
      <c r="D22" s="3289">
        <v>100</v>
      </c>
      <c r="E22" s="416"/>
      <c r="F22" s="4316">
        <f>SUMIF(71:71,E22,72:72)-SUMIF(71:71,C22,72:72)+100</f>
        <v>100</v>
      </c>
      <c r="G22" s="416"/>
      <c r="H22" s="4314">
        <f>SUMIF(71:71,G22,72:72)-SUMIF(71:71,C22,72:72)+100</f>
        <v>100</v>
      </c>
      <c r="I22" s="416"/>
      <c r="J22" s="4314">
        <f>SUMIF(71:71,I22,72:72)-SUMIF(71:71,C22,72:72)+100</f>
        <v>100</v>
      </c>
      <c r="K22" s="412"/>
      <c r="L22" s="2203"/>
      <c r="M22" s="2197"/>
      <c r="N22" s="2197"/>
      <c r="O22" s="2197"/>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442">
        <v>111</v>
      </c>
      <c r="C23" s="265"/>
      <c r="D23" s="3285">
        <v>100</v>
      </c>
      <c r="E23" s="265"/>
      <c r="F23" s="4316">
        <f>SUMIF(73:73,E23,74:74)-SUMIF(73:73,C23,74:74)+100</f>
        <v>100</v>
      </c>
      <c r="G23" s="265"/>
      <c r="H23" s="4314">
        <f>SUMIF(73:73,G23,74:74)-SUMIF(73:73,C23,74:74)+100</f>
        <v>100</v>
      </c>
      <c r="I23" s="265"/>
      <c r="J23" s="4314">
        <f>SUMIF(73:73,I23,74:74)-SUMIF(73:73,C23,74:74)+100</f>
        <v>100</v>
      </c>
      <c r="K23" s="413"/>
      <c r="L23" s="2203"/>
      <c r="M23" s="2197"/>
      <c r="N23" s="2197"/>
      <c r="O23" s="2197"/>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45"/>
      <c r="B24" s="442">
        <v>111</v>
      </c>
      <c r="C24" s="265"/>
      <c r="D24" s="3285">
        <v>100</v>
      </c>
      <c r="E24" s="265"/>
      <c r="F24" s="4316">
        <f>SUMIF(75:75,E24,76:76)-SUMIF(75:75,C24,76:76)+100</f>
        <v>100</v>
      </c>
      <c r="G24" s="265"/>
      <c r="H24" s="4314">
        <f>SUMIF(75:75,G24,76:76)-SUMIF(75:75,C24,76:76)+100</f>
        <v>100</v>
      </c>
      <c r="I24" s="265"/>
      <c r="J24" s="4314">
        <f>SUMIF(75:75,I24,76:76)-SUMIF(75:75,C24,76:76)+100</f>
        <v>100</v>
      </c>
      <c r="K24" s="413"/>
      <c r="L24" s="2203"/>
      <c r="M24" s="2197"/>
      <c r="N24" s="2197"/>
      <c r="O24" s="2197"/>
      <c r="P24" s="4757"/>
      <c r="Q24" s="999">
        <f t="shared" ref="Q24:Q36"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443"/>
      <c r="B25" s="431">
        <v>111</v>
      </c>
      <c r="C25" s="268"/>
      <c r="D25" s="3293">
        <v>100</v>
      </c>
      <c r="E25" s="424"/>
      <c r="F25" s="4333">
        <f>SUMIF(77:77,E25,78:78)-SUMIF(77:77,C25,78:78)+100</f>
        <v>100</v>
      </c>
      <c r="G25" s="424"/>
      <c r="H25" s="4334">
        <f>SUMIF(77:77,G25,78:78)-SUMIF(77:77,C25,78:78)+100</f>
        <v>100</v>
      </c>
      <c r="I25" s="424"/>
      <c r="J25" s="4334">
        <f>SUMIF(77:77,I25,78:78)-SUMIF(77:77,C25,78:78)+100</f>
        <v>100</v>
      </c>
      <c r="K25" s="413"/>
      <c r="L25" s="2198"/>
      <c r="M25" s="2199"/>
      <c r="N25" s="2199"/>
      <c r="O25" s="2199"/>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444" t="s">
        <v>1612</v>
      </c>
      <c r="B26" s="33" t="s">
        <v>1754</v>
      </c>
      <c r="C26" s="1569" t="str">
        <f>B1</f>
        <v>车库</v>
      </c>
      <c r="D26" s="3288">
        <v>100</v>
      </c>
      <c r="E26" s="273"/>
      <c r="F26" s="4323">
        <f>SUMIF(79:79,E26,80:80)-SUMIF(79:79,C26,80:80)+100</f>
        <v>0</v>
      </c>
      <c r="G26" s="273"/>
      <c r="H26" s="274">
        <f>SUMIF(79:79,G26,80:80)-SUMIF(79:79,C26,80:80)+100</f>
        <v>0</v>
      </c>
      <c r="I26" s="273"/>
      <c r="J26" s="274">
        <f>SUMIF(79:79,I26,80:80)-SUMIF(79:79,C26,80:80)+100</f>
        <v>0</v>
      </c>
      <c r="K26" s="412"/>
      <c r="L26" s="2203"/>
      <c r="M26" s="2197"/>
      <c r="N26" s="2197"/>
      <c r="O26" s="2197"/>
      <c r="P26" s="4829" t="s">
        <v>1614</v>
      </c>
      <c r="Q26" s="999" t="str">
        <f t="shared" si="11"/>
        <v>配套类型</v>
      </c>
      <c r="R26" s="4336" t="s">
        <v>13</v>
      </c>
      <c r="S26" s="4339">
        <f t="shared" ref="S26:S36" si="12">F26</f>
        <v>0</v>
      </c>
      <c r="T26" s="4336" t="s">
        <v>13</v>
      </c>
      <c r="U26" s="4339">
        <f t="shared" ref="U26:U36" si="13">H26</f>
        <v>0</v>
      </c>
      <c r="V26" s="4336" t="s">
        <v>13</v>
      </c>
      <c r="W26" s="4339">
        <f t="shared" ref="W26:W36" si="14">J26</f>
        <v>0</v>
      </c>
      <c r="X26" s="1002"/>
      <c r="Y26" s="4761"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6">
        <f>SUMIF(81:81,E27,82:82)-SUMIF(81:81,C27,82:82)+100</f>
        <v>100</v>
      </c>
      <c r="G27" s="447"/>
      <c r="H27" s="4314">
        <f>SUMIF(81:81,G27,82:82)-SUMIF(81:81,C27,82:82)+100</f>
        <v>100</v>
      </c>
      <c r="I27" s="447"/>
      <c r="J27" s="4314">
        <f>SUMIF(81:81,I27,82:82)-SUMIF(81:81,C27,82:82)+100</f>
        <v>100</v>
      </c>
      <c r="K27" s="413"/>
      <c r="L27" s="2202"/>
      <c r="M27" s="2204"/>
      <c r="N27" s="2204"/>
      <c r="O27" s="2204"/>
      <c r="P27" s="4761"/>
      <c r="Q27" s="517" t="str">
        <f t="shared" si="11"/>
        <v>项目停车位配比</v>
      </c>
      <c r="R27" s="4337" t="s">
        <v>13</v>
      </c>
      <c r="S27" s="4340">
        <f t="shared" si="12"/>
        <v>100</v>
      </c>
      <c r="T27" s="4337" t="s">
        <v>13</v>
      </c>
      <c r="U27" s="4340">
        <f t="shared" si="13"/>
        <v>100</v>
      </c>
      <c r="V27" s="4337" t="s">
        <v>13</v>
      </c>
      <c r="W27" s="4340">
        <f t="shared" si="14"/>
        <v>100</v>
      </c>
      <c r="X27" s="518"/>
      <c r="Y27" s="4761"/>
      <c r="Z27" s="519" t="str">
        <f t="shared" si="15"/>
        <v>项目停车位配比</v>
      </c>
      <c r="AA27" s="1000">
        <f t="shared" si="3"/>
        <v>1</v>
      </c>
      <c r="AB27" s="1000">
        <f t="shared" si="4"/>
        <v>1</v>
      </c>
      <c r="AC27" s="1000">
        <f t="shared" si="5"/>
        <v>1</v>
      </c>
    </row>
    <row r="28" spans="1:29" ht="15">
      <c r="A28" s="448"/>
      <c r="B28" s="446" t="s">
        <v>1756</v>
      </c>
      <c r="C28" s="282"/>
      <c r="D28" s="3285">
        <v>100</v>
      </c>
      <c r="E28" s="282"/>
      <c r="F28" s="4316">
        <f>SUMIF(83:83,E28,84:84)-SUMIF(83:83,C28,84:84)+100</f>
        <v>100</v>
      </c>
      <c r="G28" s="282"/>
      <c r="H28" s="4314">
        <f>SUMIF(83:83,G28,84:84)-SUMIF(83:83,C28,84:84)+100</f>
        <v>100</v>
      </c>
      <c r="I28" s="282"/>
      <c r="J28" s="4314">
        <f>SUMIF(83:83,I28,84:84)-SUMIF(83:83,C28,84:84)+100</f>
        <v>100</v>
      </c>
      <c r="K28" s="412"/>
      <c r="L28" s="2203"/>
      <c r="M28" s="2197"/>
      <c r="N28" s="2197"/>
      <c r="O28" s="2197"/>
      <c r="P28" s="4761"/>
      <c r="Q28" s="999" t="str">
        <f t="shared" si="11"/>
        <v>公共部分装修</v>
      </c>
      <c r="R28" s="4336" t="s">
        <v>13</v>
      </c>
      <c r="S28" s="4339">
        <f t="shared" si="12"/>
        <v>100</v>
      </c>
      <c r="T28" s="4336" t="s">
        <v>13</v>
      </c>
      <c r="U28" s="4339">
        <f t="shared" si="13"/>
        <v>100</v>
      </c>
      <c r="V28" s="4336" t="s">
        <v>13</v>
      </c>
      <c r="W28" s="4339">
        <f t="shared" si="14"/>
        <v>100</v>
      </c>
      <c r="X28" s="1002"/>
      <c r="Y28" s="4761"/>
      <c r="Z28" s="1003" t="str">
        <f t="shared" si="15"/>
        <v>公共部分装修</v>
      </c>
      <c r="AA28" s="1000">
        <f t="shared" si="3"/>
        <v>1</v>
      </c>
      <c r="AB28" s="1000">
        <f t="shared" si="4"/>
        <v>1</v>
      </c>
      <c r="AC28" s="1000">
        <f t="shared" si="5"/>
        <v>1</v>
      </c>
    </row>
    <row r="29" spans="1:29" ht="15">
      <c r="A29" s="448"/>
      <c r="B29" s="446" t="s">
        <v>1757</v>
      </c>
      <c r="C29" s="289"/>
      <c r="D29" s="3285">
        <v>100</v>
      </c>
      <c r="E29" s="289"/>
      <c r="F29" s="4316" t="e">
        <f>LOOKUP(E29,86:86,87:87)-LOOKUP(C29,86:86,87:87)+100</f>
        <v>#N/A</v>
      </c>
      <c r="G29" s="289"/>
      <c r="H29" s="4316" t="e">
        <f>LOOKUP(G29,86:86,87:87)-LOOKUP(C29,86:86,87:87)+100</f>
        <v>#N/A</v>
      </c>
      <c r="I29" s="289"/>
      <c r="J29" s="4314" t="e">
        <f>LOOKUP(I29,86:86,87:87)-LOOKUP(C29,86:86,87:87)+100</f>
        <v>#N/A</v>
      </c>
      <c r="K29" s="412"/>
      <c r="L29" s="2203"/>
      <c r="M29" s="2197"/>
      <c r="N29" s="2197"/>
      <c r="O29" s="2197"/>
      <c r="P29" s="4761"/>
      <c r="Q29" s="999" t="str">
        <f t="shared" si="11"/>
        <v>成新率</v>
      </c>
      <c r="R29" s="4336" t="s">
        <v>13</v>
      </c>
      <c r="S29" s="4339" t="e">
        <f t="shared" si="12"/>
        <v>#N/A</v>
      </c>
      <c r="T29" s="4336" t="s">
        <v>13</v>
      </c>
      <c r="U29" s="4339" t="e">
        <f t="shared" si="13"/>
        <v>#N/A</v>
      </c>
      <c r="V29" s="4336" t="s">
        <v>13</v>
      </c>
      <c r="W29" s="4339" t="e">
        <f t="shared" si="14"/>
        <v>#N/A</v>
      </c>
      <c r="X29" s="1002"/>
      <c r="Y29" s="4761"/>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6">
        <f>SUMIF(88:88,E30,89:89)-SUMIF(88:88,C30,89:89)+100</f>
        <v>100</v>
      </c>
      <c r="G30" s="449"/>
      <c r="H30" s="4314">
        <f>SUMIF(88:88,E30,89:89)-SUMIF(88:88,C30,89:89)+100</f>
        <v>100</v>
      </c>
      <c r="I30" s="449"/>
      <c r="J30" s="4314">
        <f>SUMIF(88:88,E30,89:89)-SUMIF(88:88,C30,89:89)+100</f>
        <v>100</v>
      </c>
      <c r="K30" s="412"/>
      <c r="L30" s="2203"/>
      <c r="M30" s="2197"/>
      <c r="N30" s="2197"/>
      <c r="O30" s="2197"/>
      <c r="P30" s="4761"/>
      <c r="Q30" s="999" t="str">
        <f t="shared" si="11"/>
        <v>物业等级</v>
      </c>
      <c r="R30" s="4336" t="s">
        <v>13</v>
      </c>
      <c r="S30" s="4339">
        <f t="shared" si="12"/>
        <v>100</v>
      </c>
      <c r="T30" s="4336" t="s">
        <v>13</v>
      </c>
      <c r="U30" s="4339">
        <f t="shared" si="13"/>
        <v>100</v>
      </c>
      <c r="V30" s="4336" t="s">
        <v>13</v>
      </c>
      <c r="W30" s="4339">
        <f t="shared" si="14"/>
        <v>100</v>
      </c>
      <c r="X30" s="1002"/>
      <c r="Y30" s="4761"/>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6" t="e">
        <f>LOOKUP(E31,91:91,92:92)-LOOKUP(C31,91:91,92:92)+100</f>
        <v>#N/A</v>
      </c>
      <c r="G31" s="285"/>
      <c r="H31" s="4314" t="e">
        <f>LOOKUP(G31,91:91,92:92)-LOOKUP(C31,91:91,92:92)+100</f>
        <v>#N/A</v>
      </c>
      <c r="I31" s="285"/>
      <c r="J31" s="4314" t="e">
        <f>LOOKUP(I31,91:91,92:92)-LOOKUP(C31,91:91,92:92)+100</f>
        <v>#N/A</v>
      </c>
      <c r="K31" s="412"/>
      <c r="L31" s="2198"/>
      <c r="M31" s="2199"/>
      <c r="N31" s="2199"/>
      <c r="O31" s="2199"/>
      <c r="P31" s="4761"/>
      <c r="Q31" s="991" t="str">
        <f t="shared" si="11"/>
        <v>停车位面积</v>
      </c>
      <c r="R31" s="4335" t="s">
        <v>13</v>
      </c>
      <c r="S31" s="4338" t="e">
        <f t="shared" si="12"/>
        <v>#N/A</v>
      </c>
      <c r="T31" s="4335" t="s">
        <v>13</v>
      </c>
      <c r="U31" s="4338" t="e">
        <f t="shared" si="13"/>
        <v>#N/A</v>
      </c>
      <c r="V31" s="4335" t="s">
        <v>13</v>
      </c>
      <c r="W31" s="4338" t="e">
        <f t="shared" si="14"/>
        <v>#N/A</v>
      </c>
      <c r="X31" s="515"/>
      <c r="Y31" s="4761"/>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6">
        <f>SUMIF(93:93,E32,94:94)-SUMIF(93:93,C32,94:94)+100</f>
        <v>100</v>
      </c>
      <c r="G32" s="282"/>
      <c r="H32" s="4314">
        <f>SUMIF(93:93,G32,94:94)-SUMIF(93:93,C32,94:94)+100</f>
        <v>100</v>
      </c>
      <c r="I32" s="282"/>
      <c r="J32" s="4314">
        <f>SUMIF(93:93,I32,94:94)-SUMIF(93:93,C32,94:94)+100</f>
        <v>100</v>
      </c>
      <c r="K32" s="412"/>
      <c r="L32" s="2203"/>
      <c r="M32" s="2197"/>
      <c r="N32" s="2197"/>
      <c r="O32" s="2197"/>
      <c r="P32" s="4761" t="s">
        <v>1614</v>
      </c>
      <c r="Q32" s="999" t="str">
        <f t="shared" si="11"/>
        <v>车位类型</v>
      </c>
      <c r="R32" s="4336" t="s">
        <v>13</v>
      </c>
      <c r="S32" s="4339">
        <f t="shared" si="12"/>
        <v>100</v>
      </c>
      <c r="T32" s="4336" t="s">
        <v>13</v>
      </c>
      <c r="U32" s="4339">
        <f t="shared" si="13"/>
        <v>100</v>
      </c>
      <c r="V32" s="4336" t="s">
        <v>13</v>
      </c>
      <c r="W32" s="4339">
        <f t="shared" si="14"/>
        <v>100</v>
      </c>
      <c r="X32" s="1002"/>
      <c r="Y32" s="4761"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6">
        <f>SUMIF(95:95,E33,96:96)-SUMIF(95:95,C33,96:96)+100</f>
        <v>100</v>
      </c>
      <c r="G33" s="282"/>
      <c r="H33" s="4314">
        <f>SUMIF(95:95,G33,96:96)-SUMIF(95:95,C33,96:96)+100</f>
        <v>100</v>
      </c>
      <c r="I33" s="282"/>
      <c r="J33" s="4314">
        <f>SUMIF(95:95,I33,96:96)-SUMIF(95:95,C33,96:96)+100</f>
        <v>100</v>
      </c>
      <c r="K33" s="412"/>
      <c r="L33" s="2203"/>
      <c r="M33" s="2197"/>
      <c r="N33" s="2197"/>
      <c r="O33" s="2197"/>
      <c r="P33" s="4761"/>
      <c r="Q33" s="999" t="str">
        <f t="shared" si="11"/>
        <v>是否直接入户</v>
      </c>
      <c r="R33" s="4336" t="s">
        <v>13</v>
      </c>
      <c r="S33" s="4339">
        <f t="shared" si="12"/>
        <v>100</v>
      </c>
      <c r="T33" s="4336" t="s">
        <v>13</v>
      </c>
      <c r="U33" s="4339">
        <f t="shared" si="13"/>
        <v>100</v>
      </c>
      <c r="V33" s="4336" t="s">
        <v>13</v>
      </c>
      <c r="W33" s="4339">
        <f t="shared" si="14"/>
        <v>100</v>
      </c>
      <c r="X33" s="1002"/>
      <c r="Y33" s="4761"/>
      <c r="Z33" s="1003" t="str">
        <f t="shared" si="15"/>
        <v>是否直接入户</v>
      </c>
      <c r="AA33" s="1000">
        <f t="shared" si="3"/>
        <v>1</v>
      </c>
      <c r="AB33" s="1000">
        <f t="shared" si="4"/>
        <v>1</v>
      </c>
      <c r="AC33" s="1000">
        <f t="shared" si="5"/>
        <v>1</v>
      </c>
    </row>
    <row r="34" spans="1:29" ht="15">
      <c r="A34" s="448"/>
      <c r="B34" s="442">
        <v>111</v>
      </c>
      <c r="C34" s="265"/>
      <c r="D34" s="3285">
        <v>100</v>
      </c>
      <c r="E34" s="265"/>
      <c r="F34" s="4316">
        <f>SUMIF(97:97,E34,98:98)-SUMIF(97:97,C34,98:98)+100</f>
        <v>100</v>
      </c>
      <c r="G34" s="265"/>
      <c r="H34" s="4314">
        <f>SUMIF(97:97,G34,98:98)-SUMIF(97:97,C34,98:98)+100</f>
        <v>100</v>
      </c>
      <c r="I34" s="265"/>
      <c r="J34" s="4314">
        <f>SUMIF(97:97,I34,98:98)-SUMIF(97:97,C34,98:98)+100</f>
        <v>100</v>
      </c>
      <c r="K34" s="413"/>
      <c r="L34" s="2203"/>
      <c r="M34" s="2197"/>
      <c r="N34" s="2197"/>
      <c r="O34" s="2197"/>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29" s="286" customFormat="1" ht="15">
      <c r="A35" s="445"/>
      <c r="B35" s="442">
        <v>111</v>
      </c>
      <c r="C35" s="265"/>
      <c r="D35" s="3285">
        <v>100</v>
      </c>
      <c r="E35" s="265"/>
      <c r="F35" s="4316">
        <f>SUMIF(99:99,E35,100:100)-SUMIF(99:99,C35,100:100)+100</f>
        <v>100</v>
      </c>
      <c r="G35" s="265"/>
      <c r="H35" s="4314">
        <f>SUMIF(99:99,G35,100:100)-SUMIF(99:99,C35,100:100)+100</f>
        <v>100</v>
      </c>
      <c r="I35" s="265"/>
      <c r="J35" s="4314">
        <f>SUMIF(99:99,I35,100:100)-SUMIF(99:99,C35,100:100)+100</f>
        <v>100</v>
      </c>
      <c r="K35" s="413"/>
      <c r="L35" s="2202"/>
      <c r="M35" s="2204"/>
      <c r="N35" s="2204"/>
      <c r="O35" s="2204"/>
      <c r="P35" s="4761"/>
      <c r="Q35" s="517">
        <f t="shared" si="11"/>
        <v>111</v>
      </c>
      <c r="R35" s="4337" t="s">
        <v>13</v>
      </c>
      <c r="S35" s="4340">
        <f t="shared" si="12"/>
        <v>100</v>
      </c>
      <c r="T35" s="4337" t="s">
        <v>13</v>
      </c>
      <c r="U35" s="4340">
        <f t="shared" si="13"/>
        <v>100</v>
      </c>
      <c r="V35" s="4337" t="s">
        <v>13</v>
      </c>
      <c r="W35" s="4340">
        <f t="shared" si="14"/>
        <v>100</v>
      </c>
      <c r="X35" s="518"/>
      <c r="Y35" s="4761"/>
      <c r="Z35" s="519">
        <f t="shared" si="15"/>
        <v>111</v>
      </c>
      <c r="AA35" s="1000">
        <f t="shared" si="3"/>
        <v>1</v>
      </c>
      <c r="AB35" s="1000">
        <f t="shared" si="4"/>
        <v>1</v>
      </c>
      <c r="AC35" s="1000">
        <f t="shared" si="5"/>
        <v>1</v>
      </c>
    </row>
    <row r="36" spans="1:29" ht="15.75" thickBot="1">
      <c r="A36" s="451"/>
      <c r="B36" s="431">
        <v>111</v>
      </c>
      <c r="C36" s="266"/>
      <c r="D36" s="3285">
        <v>100</v>
      </c>
      <c r="E36" s="265"/>
      <c r="F36" s="4316">
        <f>SUMIF(101:101,E36,102:102)-SUMIF(101:101,C36,102:102)+100</f>
        <v>100</v>
      </c>
      <c r="G36" s="265"/>
      <c r="H36" s="4314">
        <f>SUMIF(101:101,G36,102:102)-SUMIF(101:101,C36,102:102)+100</f>
        <v>100</v>
      </c>
      <c r="I36" s="265"/>
      <c r="J36" s="4314">
        <f>SUMIF(101:101,I36,102:102)-SUMIF(101:101,C36,102:102)+100</f>
        <v>100</v>
      </c>
      <c r="K36" s="413"/>
      <c r="L36" s="2203"/>
      <c r="M36" s="2197"/>
      <c r="N36" s="2197"/>
      <c r="O36" s="2197"/>
      <c r="P36" s="4761"/>
      <c r="Q36" s="999">
        <f t="shared" si="11"/>
        <v>111</v>
      </c>
      <c r="R36" s="4336" t="s">
        <v>13</v>
      </c>
      <c r="S36" s="4339">
        <f t="shared" si="12"/>
        <v>100</v>
      </c>
      <c r="T36" s="4336" t="s">
        <v>13</v>
      </c>
      <c r="U36" s="4339">
        <f t="shared" si="13"/>
        <v>100</v>
      </c>
      <c r="V36" s="4336" t="s">
        <v>13</v>
      </c>
      <c r="W36" s="4339">
        <f t="shared" si="14"/>
        <v>100</v>
      </c>
      <c r="X36" s="1002"/>
      <c r="Y36" s="4761"/>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24" t="str">
        <f>A37</f>
        <v>成交单价</v>
      </c>
      <c r="Q37" s="4824"/>
      <c r="R37" s="4825">
        <f>E37</f>
        <v>0</v>
      </c>
      <c r="S37" s="4825"/>
      <c r="T37" s="4825">
        <f>G37</f>
        <v>0</v>
      </c>
      <c r="U37" s="4825"/>
      <c r="V37" s="4825">
        <f>I37</f>
        <v>0</v>
      </c>
      <c r="W37" s="4825"/>
      <c r="X37" s="504"/>
      <c r="Y37" s="520"/>
      <c r="Z37" s="504"/>
      <c r="AA37" s="504"/>
      <c r="AB37" s="504"/>
      <c r="AC37" s="504"/>
    </row>
    <row r="38" spans="1:29" ht="15.75" thickBot="1">
      <c r="A38" s="296" t="s">
        <v>1763</v>
      </c>
      <c r="B38" s="297" t="str">
        <f>B37</f>
        <v>元/平方米</v>
      </c>
      <c r="C38" s="4293" t="e">
        <f>R39</f>
        <v>#DIV/0!</v>
      </c>
      <c r="D38" s="4462" t="s">
        <v>2053</v>
      </c>
      <c r="E38" s="4304" t="e">
        <f>R38</f>
        <v>#DIV/0!</v>
      </c>
      <c r="F38" s="3182"/>
      <c r="G38" s="4293" t="e">
        <f>T38</f>
        <v>#DIV/0!</v>
      </c>
      <c r="H38" s="3182"/>
      <c r="I38" s="4304" t="e">
        <f>V38</f>
        <v>#DIV/0!</v>
      </c>
      <c r="J38" s="3182"/>
      <c r="K38" s="3237">
        <f>F38+H38+J38</f>
        <v>0</v>
      </c>
      <c r="L38" s="2205"/>
      <c r="M38" s="2206"/>
      <c r="N38" s="2206"/>
      <c r="O38" s="2206"/>
      <c r="P38" s="4824" t="str">
        <f>A38</f>
        <v>比较价值（元/平方米）</v>
      </c>
      <c r="Q38" s="4824"/>
      <c r="R38" s="4825" t="e">
        <f>IF(F1="售价",ROUND(PRODUCT(R37,AA7:AA36),0),ROUND(PRODUCT(R37,AA7:AA36),1))</f>
        <v>#DIV/0!</v>
      </c>
      <c r="S38" s="4825"/>
      <c r="T38" s="4825" t="e">
        <f>IF(F1="售价",ROUND(PRODUCT(T37,AB7:AB36),0),ROUND(PRODUCT(T37,AB7:AB36),1))</f>
        <v>#DIV/0!</v>
      </c>
      <c r="U38" s="4825"/>
      <c r="V38" s="4825" t="e">
        <f>IF(F1="售价",ROUND(PRODUCT(V37,AC7:AC36),0),ROUND(PRODUCT(V37,AC7:AC36),1))</f>
        <v>#DIV/0!</v>
      </c>
      <c r="W38" s="4825"/>
      <c r="X38" s="504"/>
      <c r="Y38" s="504"/>
      <c r="Z38" s="504"/>
      <c r="AA38" s="504"/>
      <c r="AB38" s="504"/>
      <c r="AC38" s="504"/>
    </row>
    <row r="39" spans="1:29" ht="15.75" thickBot="1">
      <c r="A39" s="298" t="s">
        <v>1764</v>
      </c>
      <c r="B39" s="299"/>
      <c r="C39" s="4305" t="e">
        <f>R39</f>
        <v>#DIV/0!</v>
      </c>
      <c r="D39" s="848"/>
      <c r="E39" s="848"/>
      <c r="F39" s="848"/>
      <c r="G39" s="848"/>
      <c r="H39" s="848"/>
      <c r="I39" s="848"/>
      <c r="J39" s="848"/>
      <c r="K39" s="417"/>
      <c r="L39" s="2205"/>
      <c r="M39" s="2206"/>
      <c r="N39" s="2206"/>
      <c r="O39" s="2206"/>
      <c r="P39" s="4826" t="str">
        <f>A39</f>
        <v>估价对象XX用房的比较价值（楼面单价，元/平方米）</v>
      </c>
      <c r="Q39" s="4827"/>
      <c r="R39" s="4828" t="e">
        <f>IF(F1="售价",ROUND(IF(D38="简单平均",AVERAGE(R38:W38),R38*F38+T38*H38+V38*J38),0),ROUND(IF(D38="简单平均",AVERAGE(R38:V38),R38*F38+T38*H38+V38*J38),1))</f>
        <v>#DIV/0!</v>
      </c>
      <c r="S39" s="4828"/>
      <c r="T39" s="4828"/>
      <c r="U39" s="4828"/>
      <c r="V39" s="4828"/>
      <c r="W39" s="4828"/>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c r="D2" s="4306" t="b">
        <f>IF(E1="项目模式",IF(E2="——",ROUND(C37*D3/10000,0),ROUND(C37*D3/10000,0)-F2),IF(E1="单套模式",IF(E2="——",ROUND(C37*D3/10000,4),ROUND(C37*D3/10000,4)-F2)))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SUMIF(46:46,YEAR(E7)&amp;"-"&amp;MONTH(E7),47:47)</f>
        <v>0</v>
      </c>
      <c r="G7" s="1571"/>
      <c r="H7" s="4319">
        <f>SUMIF(46:46,YEAR(G7)&amp;"-"&amp;MONTH(G7),47:47)</f>
        <v>0</v>
      </c>
      <c r="I7" s="252"/>
      <c r="J7" s="4319">
        <f>SUMIF(46:46,YEAR(I7)&amp;"-"&amp;MONTH(I7),47:47)</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SUMIF(49:49,E8,50:50)-SUMIF(49:49,C8,50:50)+100</f>
        <v>100</v>
      </c>
      <c r="G8" s="253"/>
      <c r="H8" s="4319">
        <f>SUMIF(49:49,G8,50:50)-SUMIF(49:49,C8,50:50)+100</f>
        <v>100</v>
      </c>
      <c r="I8" s="253"/>
      <c r="J8" s="4319">
        <f>SUMIF(49:49,I8,50:50)-SUMIF(49:49,C8,50:50)+100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1">
        <f>SUMIF(51:51,E9,52:52)-SUMIF(51:51,C9,52:52)+100</f>
        <v>100</v>
      </c>
      <c r="G9" s="257"/>
      <c r="H9" s="4309">
        <f>SUMIF(51:51,G9,52:52)-SUMIF(51:51,C9,52:52)+100</f>
        <v>100</v>
      </c>
      <c r="I9" s="257"/>
      <c r="J9" s="4309">
        <f>SUMIF(51:51,I9,52:52)-SUMIF(51:51,C9,52:52)+100</f>
        <v>100</v>
      </c>
      <c r="K9" s="411"/>
      <c r="L9" s="2198"/>
      <c r="M9" s="2199"/>
      <c r="N9" s="2199"/>
      <c r="O9" s="2253"/>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17">
        <f>SUMIF(53:53,E10,54:54)-SUMIF(53:53,C10,54:54)+100</f>
        <v>100</v>
      </c>
      <c r="G10" s="2796"/>
      <c r="H10" s="4310">
        <f>SUMIF(53:53,G10,54:54)-SUMIF(53:53,C10,54:54)+100</f>
        <v>100</v>
      </c>
      <c r="I10" s="2796"/>
      <c r="J10" s="4310">
        <f>SUMIF(53:53,I10,54:54)-SUMIF(53:53,C10,54:54)+100</f>
        <v>100</v>
      </c>
      <c r="K10" s="411"/>
      <c r="L10" s="2200"/>
      <c r="M10" s="2201"/>
      <c r="N10" s="2201"/>
      <c r="O10" s="2254"/>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261"/>
      <c r="B11" s="1501">
        <v>111</v>
      </c>
      <c r="C11" s="265"/>
      <c r="D11" s="3283">
        <v>100</v>
      </c>
      <c r="E11" s="285"/>
      <c r="F11" s="4317">
        <f>SUMIF(55:55,E11,56:56)-SUMIF(55:55,C11,56:56)+100</f>
        <v>100</v>
      </c>
      <c r="G11" s="285"/>
      <c r="H11" s="4310">
        <f>SUMIF(55:55,G11,56:56)-SUMIF(55:55,C11,56:56)+100</f>
        <v>100</v>
      </c>
      <c r="I11" s="285"/>
      <c r="J11" s="4310">
        <f>SUMIF(55:55,I11,56:56)-SUMIF(55:55,C11,56:56)+100</f>
        <v>100</v>
      </c>
      <c r="K11" s="413"/>
      <c r="L11" s="2202"/>
      <c r="M11" s="2197"/>
      <c r="N11" s="2197"/>
      <c r="O11" s="2255"/>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264"/>
      <c r="B12" s="1501">
        <v>111</v>
      </c>
      <c r="C12" s="265"/>
      <c r="D12" s="3284">
        <v>100</v>
      </c>
      <c r="E12" s="285"/>
      <c r="F12" s="4317">
        <f>SUMIF(57:57,E12,58:58)-SUMIF(57:57,C12,58:58)+100</f>
        <v>100</v>
      </c>
      <c r="G12" s="285"/>
      <c r="H12" s="4310">
        <f>SUMIF(57:57,G12,58:58)-SUMIF(57:57,C12,58:58)+100</f>
        <v>100</v>
      </c>
      <c r="I12" s="285"/>
      <c r="J12" s="4310">
        <f>SUMIF(57:57,I12,58:58)-SUMIF(57:57,C12,58:58)+100</f>
        <v>100</v>
      </c>
      <c r="K12" s="413"/>
      <c r="L12" s="2198"/>
      <c r="M12" s="2199"/>
      <c r="N12" s="2199"/>
      <c r="O12" s="2253"/>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261"/>
      <c r="B13" s="1501">
        <v>111</v>
      </c>
      <c r="C13" s="266"/>
      <c r="D13" s="3285">
        <v>100</v>
      </c>
      <c r="E13" s="285"/>
      <c r="F13" s="4317">
        <f>SUMIF(59:59,E13,60:60)-SUMIF(59:59,C13,60:60)+100</f>
        <v>100</v>
      </c>
      <c r="G13" s="1572"/>
      <c r="H13" s="4311">
        <f>SUMIF(59:59,G13,60:60)-SUMIF(59:59,C13,60:60)+100</f>
        <v>100</v>
      </c>
      <c r="I13" s="285"/>
      <c r="J13" s="4314">
        <f>SUMIF(59:59,I13,60:60)-SUMIF(59:59,C13,60:60)+100</f>
        <v>100</v>
      </c>
      <c r="K13" s="413"/>
      <c r="L13" s="2203"/>
      <c r="M13" s="2197"/>
      <c r="N13" s="2197"/>
      <c r="O13" s="2255"/>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2">
        <f>SUMIF(61:61,E15,62:62)-SUMIF(61:61,C15,62:62)+100</f>
        <v>100</v>
      </c>
      <c r="G14" s="271"/>
      <c r="H14" s="4312">
        <f>SUMIF(61:61,G15,62:62)-SUMIF(61:61,C15,62:62)+100</f>
        <v>100</v>
      </c>
      <c r="I14" s="270"/>
      <c r="J14" s="4312">
        <f>SUMIF(61:61,I15,62:62)-SUMIF(61:61,C15,62:62)+100</f>
        <v>100</v>
      </c>
      <c r="K14" s="414"/>
      <c r="L14" s="2203"/>
      <c r="M14" s="2197"/>
      <c r="N14" s="2197"/>
      <c r="O14" s="2255"/>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61"/>
      <c r="B15" s="272"/>
      <c r="C15" s="273"/>
      <c r="D15" s="3288"/>
      <c r="E15" s="273"/>
      <c r="F15" s="4323"/>
      <c r="G15" s="273"/>
      <c r="H15" s="275"/>
      <c r="I15" s="273"/>
      <c r="J15" s="274"/>
      <c r="K15" s="415"/>
      <c r="L15" s="2203"/>
      <c r="M15" s="2197"/>
      <c r="N15" s="2197"/>
      <c r="O15" s="2255"/>
      <c r="P15" s="4757"/>
      <c r="Q15" s="999"/>
      <c r="R15" s="4336"/>
      <c r="S15" s="4339"/>
      <c r="T15" s="4336"/>
      <c r="U15" s="4339"/>
      <c r="V15" s="4336"/>
      <c r="W15" s="4339"/>
      <c r="X15" s="1002"/>
      <c r="Y15" s="4757"/>
      <c r="Z15" s="1003"/>
      <c r="AA15" s="1000">
        <v>1</v>
      </c>
      <c r="AB15" s="1000">
        <v>1</v>
      </c>
      <c r="AC15" s="1000">
        <v>1</v>
      </c>
    </row>
    <row r="16" spans="1:29" ht="15">
      <c r="A16" s="261"/>
      <c r="B16" s="276" t="s">
        <v>1730</v>
      </c>
      <c r="C16" s="1505">
        <f>IF(B1="工业",估价对象房地状况!G5,估价对象房地状况!C7)</f>
        <v>0</v>
      </c>
      <c r="D16" s="3290">
        <v>100</v>
      </c>
      <c r="E16" s="280"/>
      <c r="F16" s="4325">
        <f>SUMIF(63:63,E17,64:64)-SUMIF(63:63,C17,64:64)+100</f>
        <v>100</v>
      </c>
      <c r="G16" s="281"/>
      <c r="H16" s="4313">
        <f>SUMIF(63:63,G17,64:64)-SUMIF(63:63,C17,64:64)+100</f>
        <v>100</v>
      </c>
      <c r="I16" s="280"/>
      <c r="J16" s="4313">
        <f>SUMIF(63:63,I17,64:64)-SUMIF(63:63,C17,64:64)+100</f>
        <v>100</v>
      </c>
      <c r="K16" s="414"/>
      <c r="L16" s="2203"/>
      <c r="M16" s="2197"/>
      <c r="N16" s="2197"/>
      <c r="O16" s="2255"/>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61"/>
      <c r="B17" s="279"/>
      <c r="C17" s="1506"/>
      <c r="D17" s="3288"/>
      <c r="E17" s="273"/>
      <c r="F17" s="4323"/>
      <c r="G17" s="273"/>
      <c r="H17" s="274"/>
      <c r="I17" s="273"/>
      <c r="J17" s="274"/>
      <c r="K17" s="415"/>
      <c r="L17" s="2203"/>
      <c r="M17" s="2197"/>
      <c r="N17" s="2197"/>
      <c r="O17" s="2255"/>
      <c r="P17" s="4757"/>
      <c r="Q17" s="999"/>
      <c r="R17" s="4336"/>
      <c r="S17" s="4339"/>
      <c r="T17" s="4336"/>
      <c r="U17" s="4339"/>
      <c r="V17" s="4336"/>
      <c r="W17" s="4339"/>
      <c r="X17" s="1002"/>
      <c r="Y17" s="4757"/>
      <c r="Z17" s="1003"/>
      <c r="AA17" s="1000">
        <v>1</v>
      </c>
      <c r="AB17" s="1000">
        <v>1</v>
      </c>
      <c r="AC17" s="1000">
        <v>1</v>
      </c>
    </row>
    <row r="18" spans="1:29" ht="15">
      <c r="A18" s="261"/>
      <c r="B18" s="835" t="s">
        <v>1731</v>
      </c>
      <c r="C18" s="1505">
        <f>IF(B1="工业",估价对象房地状况!G6,估价对象房地状况!C8)</f>
        <v>0</v>
      </c>
      <c r="D18" s="3290">
        <v>100</v>
      </c>
      <c r="E18" s="277"/>
      <c r="F18" s="4325">
        <f>SUMIF(65:65,E19,66:66)-SUMIF(65:65,C19,66:66)+100</f>
        <v>100</v>
      </c>
      <c r="G18" s="278"/>
      <c r="H18" s="4313">
        <f>SUMIF(65:65,G19,66:66)-SUMIF(65:65,C19,66:66)+100</f>
        <v>100</v>
      </c>
      <c r="I18" s="280"/>
      <c r="J18" s="4313">
        <f>SUMIF(65:65,I19,66:66)-SUMIF(65:65,C19,66:66)+100</f>
        <v>100</v>
      </c>
      <c r="K18" s="414"/>
      <c r="L18" s="2203"/>
      <c r="M18" s="2197"/>
      <c r="N18" s="2197"/>
      <c r="O18" s="2255"/>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4"/>
      <c r="G19" s="1506"/>
      <c r="H19" s="274"/>
      <c r="I19" s="273"/>
      <c r="J19" s="274"/>
      <c r="K19" s="834"/>
      <c r="L19" s="2203"/>
      <c r="M19" s="2197"/>
      <c r="N19" s="2197"/>
      <c r="O19" s="2255"/>
      <c r="P19" s="4757"/>
      <c r="Q19" s="999"/>
      <c r="R19" s="4336"/>
      <c r="S19" s="4339"/>
      <c r="T19" s="4336"/>
      <c r="U19" s="4339"/>
      <c r="V19" s="4336"/>
      <c r="W19" s="4339"/>
      <c r="X19" s="1002"/>
      <c r="Y19" s="4757"/>
      <c r="Z19" s="1003"/>
      <c r="AA19" s="1000">
        <v>1</v>
      </c>
      <c r="AB19" s="1000">
        <v>1</v>
      </c>
      <c r="AC19" s="1000">
        <v>1</v>
      </c>
    </row>
    <row r="20" spans="1:29" ht="15">
      <c r="A20" s="261"/>
      <c r="B20" s="276" t="s">
        <v>1752</v>
      </c>
      <c r="C20" s="1505">
        <f>IF(B1="工业",估价对象房地状况!G7,估价对象房地状况!C9)</f>
        <v>0</v>
      </c>
      <c r="D20" s="3290">
        <v>100</v>
      </c>
      <c r="E20" s="280"/>
      <c r="F20" s="4325">
        <f>SUMIF(67:67,E21,68:68)-SUMIF(67:67,C21,68:68)+100</f>
        <v>100</v>
      </c>
      <c r="G20" s="281"/>
      <c r="H20" s="275">
        <f>SUMIF(67:67,G21,68:68)-SUMIF(67:67,C21,68:68)+100</f>
        <v>100</v>
      </c>
      <c r="I20" s="277"/>
      <c r="J20" s="275">
        <f>SUMIF(67:67,I21,68:68)-SUMIF(67:67,C21,68:68)+100</f>
        <v>100</v>
      </c>
      <c r="K20" s="414"/>
      <c r="L20" s="2203"/>
      <c r="M20" s="2197"/>
      <c r="N20" s="2197"/>
      <c r="O20" s="2255"/>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61"/>
      <c r="B21" s="279"/>
      <c r="C21" s="273"/>
      <c r="D21" s="3288"/>
      <c r="E21" s="273"/>
      <c r="F21" s="4323"/>
      <c r="G21" s="273"/>
      <c r="H21" s="274"/>
      <c r="I21" s="273"/>
      <c r="J21" s="274"/>
      <c r="K21" s="415"/>
      <c r="L21" s="2203"/>
      <c r="M21" s="2197"/>
      <c r="N21" s="2197"/>
      <c r="O21" s="2255"/>
      <c r="P21" s="4757"/>
      <c r="Q21" s="999"/>
      <c r="R21" s="4336"/>
      <c r="S21" s="4339"/>
      <c r="T21" s="4336"/>
      <c r="U21" s="4339"/>
      <c r="V21" s="4336"/>
      <c r="W21" s="4339"/>
      <c r="X21" s="1002"/>
      <c r="Y21" s="4757"/>
      <c r="Z21" s="1003"/>
      <c r="AA21" s="1000">
        <v>1</v>
      </c>
      <c r="AB21" s="1000">
        <v>1</v>
      </c>
      <c r="AC21" s="1000">
        <v>1</v>
      </c>
    </row>
    <row r="22" spans="1:29" ht="15">
      <c r="A22" s="261"/>
      <c r="B22" s="276" t="s">
        <v>1753</v>
      </c>
      <c r="C22" s="416"/>
      <c r="D22" s="3289">
        <v>100</v>
      </c>
      <c r="E22" s="416"/>
      <c r="F22" s="4316">
        <f>SUMIF(69:69,E22,70:70)-SUMIF(69:69,C22,70:70)+100</f>
        <v>100</v>
      </c>
      <c r="G22" s="416"/>
      <c r="H22" s="4314">
        <f>SUMIF(69:69,G22,70:70)-SUMIF(69:69,C22,70:70)+100</f>
        <v>100</v>
      </c>
      <c r="I22" s="416"/>
      <c r="J22" s="4314">
        <f>SUMIF(69:69,I22,70:70)-SUMIF(69:69,C22,70:70)+100</f>
        <v>100</v>
      </c>
      <c r="K22" s="412"/>
      <c r="L22" s="2203"/>
      <c r="M22" s="2197"/>
      <c r="N22" s="2197"/>
      <c r="O22" s="2255"/>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1501">
        <v>111</v>
      </c>
      <c r="C23" s="265"/>
      <c r="D23" s="3285">
        <v>100</v>
      </c>
      <c r="E23" s="266"/>
      <c r="F23" s="4316">
        <f>SUMIF(71:71,E23,72:72)-SUMIF(71:71,C23,72:72)+100</f>
        <v>100</v>
      </c>
      <c r="G23" s="266"/>
      <c r="H23" s="4314">
        <f>SUMIF(71:71,G23,72:72)-SUMIF(71:71,C23,72:72)+100</f>
        <v>100</v>
      </c>
      <c r="I23" s="266"/>
      <c r="J23" s="4314">
        <f>SUMIF(71:71,I23,72:72)-SUMIF(71:71,C23,72:72)+100</f>
        <v>100</v>
      </c>
      <c r="K23" s="413"/>
      <c r="L23" s="2203"/>
      <c r="M23" s="2197"/>
      <c r="N23" s="2197"/>
      <c r="O23" s="2255"/>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61"/>
      <c r="B24" s="1501">
        <v>111</v>
      </c>
      <c r="C24" s="265"/>
      <c r="D24" s="3285">
        <v>100</v>
      </c>
      <c r="E24" s="266"/>
      <c r="F24" s="4316">
        <f>SUMIF(73:73,E24,74:74)-SUMIF(73:73,C24,74:74)+100</f>
        <v>100</v>
      </c>
      <c r="G24" s="266"/>
      <c r="H24" s="4314">
        <f>SUMIF(73:73,G24,74:74)-SUMIF(73:73,C24,74:74)+100</f>
        <v>100</v>
      </c>
      <c r="I24" s="266"/>
      <c r="J24" s="4314">
        <f>SUMIF(73:73,I24,74:74)-SUMIF(73:73,C24,74:74)+100</f>
        <v>100</v>
      </c>
      <c r="K24" s="413"/>
      <c r="L24" s="2203"/>
      <c r="M24" s="2197"/>
      <c r="N24" s="2197"/>
      <c r="O24" s="2255"/>
      <c r="P24" s="4757"/>
      <c r="Q24" s="999">
        <f t="shared" ref="Q24:Q34"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264"/>
      <c r="B25" s="1501">
        <v>111</v>
      </c>
      <c r="C25" s="1573"/>
      <c r="D25" s="3294">
        <v>100</v>
      </c>
      <c r="E25" s="1573"/>
      <c r="F25" s="4342">
        <f>SUMIF(75:75,E25,76:76)-SUMIF(75:75,C25,76:76)+100</f>
        <v>100</v>
      </c>
      <c r="G25" s="1573"/>
      <c r="H25" s="4344">
        <f>SUMIF(75:75,G25,76:76)-SUMIF(75:75,C25,76:76)+100</f>
        <v>100</v>
      </c>
      <c r="I25" s="1573"/>
      <c r="J25" s="4344">
        <f>SUMIF(75:75,I25,76:76)-SUMIF(75:75,C25,76:76)+100</f>
        <v>100</v>
      </c>
      <c r="K25" s="413"/>
      <c r="L25" s="2198"/>
      <c r="M25" s="2199"/>
      <c r="N25" s="2199"/>
      <c r="O25" s="2253"/>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283" t="s">
        <v>1612</v>
      </c>
      <c r="B26" s="34" t="s">
        <v>1756</v>
      </c>
      <c r="C26" s="1564"/>
      <c r="D26" s="3292">
        <v>100</v>
      </c>
      <c r="E26" s="1564"/>
      <c r="F26" s="4343">
        <f>SUMIF(77:77,E26,78:78)-SUMIF(77:77,C26,78:78)+100</f>
        <v>100</v>
      </c>
      <c r="G26" s="1564"/>
      <c r="H26" s="4320">
        <f>SUMIF(77:77,G26,78:78)-SUMIF(77:77,C26,78:78)+100</f>
        <v>100</v>
      </c>
      <c r="I26" s="1564"/>
      <c r="J26" s="4320">
        <f>SUMIF(77:77,I26,78:78)-SUMIF(77:77,C26,78:78)+100</f>
        <v>100</v>
      </c>
      <c r="K26" s="412"/>
      <c r="L26" s="2203"/>
      <c r="M26" s="2197"/>
      <c r="N26" s="2197"/>
      <c r="O26" s="2255"/>
      <c r="P26" s="4829" t="s">
        <v>1614</v>
      </c>
      <c r="Q26" s="999" t="str">
        <f t="shared" si="11"/>
        <v>公共部分装修</v>
      </c>
      <c r="R26" s="4336" t="s">
        <v>13</v>
      </c>
      <c r="S26" s="4339">
        <f t="shared" ref="S26:S34" si="12">F26</f>
        <v>100</v>
      </c>
      <c r="T26" s="4336" t="s">
        <v>13</v>
      </c>
      <c r="U26" s="4339">
        <f t="shared" ref="U26:U34" si="13">H26</f>
        <v>100</v>
      </c>
      <c r="V26" s="4336" t="s">
        <v>13</v>
      </c>
      <c r="W26" s="4339">
        <f t="shared" ref="W26:W34" si="14">J26</f>
        <v>100</v>
      </c>
      <c r="X26" s="1002"/>
      <c r="Y26" s="4761"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6" t="e">
        <f>LOOKUP(E27,80:80,81:81)-LOOKUP(C27,80:80,81:81)+100</f>
        <v>#N/A</v>
      </c>
      <c r="G27" s="291"/>
      <c r="H27" s="4314" t="e">
        <f>LOOKUP(G27,80:80,81:81)-LOOKUP(C27,80:80,81:81)+100</f>
        <v>#N/A</v>
      </c>
      <c r="I27" s="291"/>
      <c r="J27" s="4314" t="e">
        <f>LOOKUP(I27,80:80,81:81)-LOOKUP(C27,80:80,81:81)+100</f>
        <v>#N/A</v>
      </c>
      <c r="K27" s="412"/>
      <c r="L27" s="2202"/>
      <c r="M27" s="2204"/>
      <c r="N27" s="2204"/>
      <c r="O27" s="2256"/>
      <c r="P27" s="4761"/>
      <c r="Q27" s="517" t="str">
        <f t="shared" si="11"/>
        <v>成新率</v>
      </c>
      <c r="R27" s="4337" t="s">
        <v>13</v>
      </c>
      <c r="S27" s="4340" t="e">
        <f t="shared" si="12"/>
        <v>#N/A</v>
      </c>
      <c r="T27" s="4337" t="s">
        <v>13</v>
      </c>
      <c r="U27" s="4340" t="e">
        <f t="shared" si="13"/>
        <v>#N/A</v>
      </c>
      <c r="V27" s="4337" t="s">
        <v>13</v>
      </c>
      <c r="W27" s="4340" t="e">
        <f t="shared" si="14"/>
        <v>#N/A</v>
      </c>
      <c r="X27" s="518"/>
      <c r="Y27" s="4761"/>
      <c r="Z27" s="519" t="str">
        <f t="shared" si="15"/>
        <v>成新率</v>
      </c>
      <c r="AA27" s="1000" t="e">
        <f t="shared" si="3"/>
        <v>#N/A</v>
      </c>
      <c r="AB27" s="1000" t="e">
        <f t="shared" si="4"/>
        <v>#N/A</v>
      </c>
      <c r="AC27" s="1000" t="e">
        <f t="shared" si="5"/>
        <v>#N/A</v>
      </c>
    </row>
    <row r="28" spans="1:29" ht="15">
      <c r="A28" s="287"/>
      <c r="B28" s="259" t="s">
        <v>1758</v>
      </c>
      <c r="C28" s="282"/>
      <c r="D28" s="3285">
        <v>100</v>
      </c>
      <c r="E28" s="282"/>
      <c r="F28" s="4316">
        <f>SUMIF(82:82,E28,83:83)-SUMIF(82:82,C28,83:83)+100</f>
        <v>100</v>
      </c>
      <c r="G28" s="282"/>
      <c r="H28" s="4314">
        <f>SUMIF(82:82,G28,83:83)-SUMIF(82:82,C28,83:83)+100</f>
        <v>100</v>
      </c>
      <c r="I28" s="282"/>
      <c r="J28" s="4314">
        <f>SUMIF(82:82,I28,83:83)-SUMIF(82:82,C28,83:83)+100</f>
        <v>100</v>
      </c>
      <c r="K28" s="412"/>
      <c r="L28" s="2203"/>
      <c r="M28" s="2197"/>
      <c r="N28" s="2197"/>
      <c r="O28" s="2255"/>
      <c r="P28" s="4761"/>
      <c r="Q28" s="999" t="str">
        <f t="shared" si="11"/>
        <v>物业等级</v>
      </c>
      <c r="R28" s="4336" t="s">
        <v>13</v>
      </c>
      <c r="S28" s="4339">
        <f t="shared" si="12"/>
        <v>100</v>
      </c>
      <c r="T28" s="4336" t="s">
        <v>13</v>
      </c>
      <c r="U28" s="4339">
        <f t="shared" si="13"/>
        <v>100</v>
      </c>
      <c r="V28" s="4336" t="s">
        <v>13</v>
      </c>
      <c r="W28" s="4339">
        <f t="shared" si="14"/>
        <v>100</v>
      </c>
      <c r="X28" s="1002"/>
      <c r="Y28" s="4761"/>
      <c r="Z28" s="1003" t="str">
        <f t="shared" si="15"/>
        <v>物业等级</v>
      </c>
      <c r="AA28" s="1000">
        <f t="shared" si="3"/>
        <v>1</v>
      </c>
      <c r="AB28" s="1000">
        <f t="shared" si="4"/>
        <v>1</v>
      </c>
      <c r="AC28" s="1000">
        <f t="shared" si="5"/>
        <v>1</v>
      </c>
    </row>
    <row r="29" spans="1:29" ht="15">
      <c r="A29" s="287"/>
      <c r="B29" s="259" t="s">
        <v>1778</v>
      </c>
      <c r="C29" s="449"/>
      <c r="D29" s="3285">
        <v>100</v>
      </c>
      <c r="E29" s="449"/>
      <c r="F29" s="4316">
        <f>SUMIF(84:84,E29,85:85)-SUMIF(84:84,C29,85:85)+100</f>
        <v>100</v>
      </c>
      <c r="G29" s="449"/>
      <c r="H29" s="4314">
        <f>SUMIF(84:84,G29,85:85)-SUMIF(84:84,C29,85:85)+100</f>
        <v>100</v>
      </c>
      <c r="I29" s="449"/>
      <c r="J29" s="4314">
        <f>SUMIF(84:84,I29,85:85)-SUMIF(84:84,C29,85:85)+100</f>
        <v>100</v>
      </c>
      <c r="K29" s="412"/>
      <c r="L29" s="2203"/>
      <c r="M29" s="2197"/>
      <c r="N29" s="2197"/>
      <c r="O29" s="2255"/>
      <c r="P29" s="4761"/>
      <c r="Q29" s="999" t="str">
        <f t="shared" si="11"/>
        <v>有无电梯</v>
      </c>
      <c r="R29" s="4336" t="s">
        <v>13</v>
      </c>
      <c r="S29" s="4339">
        <f t="shared" si="12"/>
        <v>100</v>
      </c>
      <c r="T29" s="4336" t="s">
        <v>13</v>
      </c>
      <c r="U29" s="4339">
        <f t="shared" si="13"/>
        <v>100</v>
      </c>
      <c r="V29" s="4336" t="s">
        <v>13</v>
      </c>
      <c r="W29" s="4339">
        <f t="shared" si="14"/>
        <v>100</v>
      </c>
      <c r="X29" s="1002"/>
      <c r="Y29" s="4761"/>
      <c r="Z29" s="1003" t="str">
        <f t="shared" si="15"/>
        <v>有无电梯</v>
      </c>
      <c r="AA29" s="1000">
        <f t="shared" si="3"/>
        <v>1</v>
      </c>
      <c r="AB29" s="1000">
        <f t="shared" si="4"/>
        <v>1</v>
      </c>
      <c r="AC29" s="1000">
        <f t="shared" si="5"/>
        <v>1</v>
      </c>
    </row>
    <row r="30" spans="1:29" ht="15">
      <c r="A30" s="287"/>
      <c r="B30" s="259" t="s">
        <v>1779</v>
      </c>
      <c r="C30" s="285"/>
      <c r="D30" s="3285">
        <v>100</v>
      </c>
      <c r="E30" s="285"/>
      <c r="F30" s="4316" t="e">
        <f>LOOKUP(E30,87:87,88:88)-LOOKUP(C30,87:87,88:88)+100</f>
        <v>#N/A</v>
      </c>
      <c r="G30" s="285"/>
      <c r="H30" s="4314" t="e">
        <f>LOOKUP(G30,87:87,88:88)-LOOKUP(C30,87:87,88:88)+100</f>
        <v>#N/A</v>
      </c>
      <c r="I30" s="285"/>
      <c r="J30" s="4314" t="e">
        <f>LOOKUP(I30,87:87,88:88)-LOOKUP(C30,87:87,88:88)+100</f>
        <v>#N/A</v>
      </c>
      <c r="K30" s="413"/>
      <c r="L30" s="2203"/>
      <c r="M30" s="2197"/>
      <c r="N30" s="2197"/>
      <c r="O30" s="2255"/>
      <c r="P30" s="4761"/>
      <c r="Q30" s="999" t="str">
        <f t="shared" si="11"/>
        <v>建筑面积</v>
      </c>
      <c r="R30" s="4336" t="s">
        <v>13</v>
      </c>
      <c r="S30" s="4339" t="e">
        <f t="shared" si="12"/>
        <v>#N/A</v>
      </c>
      <c r="T30" s="4336" t="s">
        <v>13</v>
      </c>
      <c r="U30" s="4339" t="e">
        <f t="shared" si="13"/>
        <v>#N/A</v>
      </c>
      <c r="V30" s="4336" t="s">
        <v>13</v>
      </c>
      <c r="W30" s="4339" t="e">
        <f t="shared" si="14"/>
        <v>#N/A</v>
      </c>
      <c r="X30" s="1002"/>
      <c r="Y30" s="4761"/>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6">
        <f>SUMIF(89:89,E31,90:90)-SUMIF(89:89,C31,90:90)+100</f>
        <v>100</v>
      </c>
      <c r="G31" s="449"/>
      <c r="H31" s="4314">
        <f>SUMIF(89:89,G31,90:90)-SUMIF(89:89,C31,90:90)+100</f>
        <v>100</v>
      </c>
      <c r="I31" s="449"/>
      <c r="J31" s="4314">
        <f>SUMIF(89:89,I31,90:90)-SUMIF(89:89,C31,90:90)+100</f>
        <v>100</v>
      </c>
      <c r="K31" s="412"/>
      <c r="L31" s="2198"/>
      <c r="M31" s="2199"/>
      <c r="N31" s="2199"/>
      <c r="O31" s="2253"/>
      <c r="P31" s="4761"/>
      <c r="Q31" s="991" t="str">
        <f t="shared" si="11"/>
        <v>是否封闭</v>
      </c>
      <c r="R31" s="4335" t="s">
        <v>13</v>
      </c>
      <c r="S31" s="4338">
        <f t="shared" si="12"/>
        <v>100</v>
      </c>
      <c r="T31" s="4335" t="s">
        <v>13</v>
      </c>
      <c r="U31" s="4338">
        <f t="shared" si="13"/>
        <v>100</v>
      </c>
      <c r="V31" s="4335" t="s">
        <v>13</v>
      </c>
      <c r="W31" s="4338">
        <f t="shared" si="14"/>
        <v>100</v>
      </c>
      <c r="X31" s="515"/>
      <c r="Y31" s="4761"/>
      <c r="Z31" s="28" t="str">
        <f t="shared" si="15"/>
        <v>是否封闭</v>
      </c>
      <c r="AA31" s="516">
        <f t="shared" si="3"/>
        <v>1</v>
      </c>
      <c r="AB31" s="516">
        <f t="shared" si="4"/>
        <v>1</v>
      </c>
      <c r="AC31" s="516">
        <f t="shared" si="5"/>
        <v>1</v>
      </c>
    </row>
    <row r="32" spans="1:29" ht="15">
      <c r="A32" s="287"/>
      <c r="B32" s="1501">
        <v>111</v>
      </c>
      <c r="C32" s="265"/>
      <c r="D32" s="3285">
        <v>100</v>
      </c>
      <c r="E32" s="285"/>
      <c r="F32" s="4316">
        <f>SUMIF(91:91,E32,92:92)-SUMIF(91:91,C32,92:92)+100</f>
        <v>100</v>
      </c>
      <c r="G32" s="285"/>
      <c r="H32" s="4314">
        <f>SUMIF(91:91,G32,92:92)-SUMIF(91:91,C32,92:92)+100</f>
        <v>100</v>
      </c>
      <c r="I32" s="285"/>
      <c r="J32" s="4314">
        <f>SUMIF(91:91,I32,92:92)-SUMIF(91:91,C32,92:92)+100</f>
        <v>100</v>
      </c>
      <c r="K32" s="413"/>
      <c r="L32" s="2203"/>
      <c r="M32" s="2197"/>
      <c r="N32" s="2197"/>
      <c r="O32" s="2255"/>
      <c r="P32" s="4761" t="s">
        <v>1614</v>
      </c>
      <c r="Q32" s="999">
        <f t="shared" si="11"/>
        <v>111</v>
      </c>
      <c r="R32" s="4336" t="s">
        <v>13</v>
      </c>
      <c r="S32" s="4339">
        <f t="shared" si="12"/>
        <v>100</v>
      </c>
      <c r="T32" s="4336" t="s">
        <v>13</v>
      </c>
      <c r="U32" s="4339">
        <f t="shared" si="13"/>
        <v>100</v>
      </c>
      <c r="V32" s="4336" t="s">
        <v>13</v>
      </c>
      <c r="W32" s="4339">
        <f t="shared" si="14"/>
        <v>100</v>
      </c>
      <c r="X32" s="1002"/>
      <c r="Y32" s="4761" t="s">
        <v>1614</v>
      </c>
      <c r="Z32" s="1003">
        <f t="shared" si="15"/>
        <v>111</v>
      </c>
      <c r="AA32" s="1000">
        <f t="shared" si="3"/>
        <v>1</v>
      </c>
      <c r="AB32" s="1000">
        <f t="shared" si="4"/>
        <v>1</v>
      </c>
      <c r="AC32" s="1000">
        <f t="shared" si="5"/>
        <v>1</v>
      </c>
    </row>
    <row r="33" spans="1:30" ht="15">
      <c r="A33" s="287"/>
      <c r="B33" s="1501">
        <v>111</v>
      </c>
      <c r="C33" s="265"/>
      <c r="D33" s="3285">
        <v>100</v>
      </c>
      <c r="E33" s="285"/>
      <c r="F33" s="4316">
        <f>SUMIF(93:93,E33,94:94)-SUMIF(93:93,C33,94:94)+100</f>
        <v>100</v>
      </c>
      <c r="G33" s="285"/>
      <c r="H33" s="4314">
        <f>SUMIF(93:93,G33,94:94)-SUMIF(93:93,C33,94:94)+100</f>
        <v>100</v>
      </c>
      <c r="I33" s="285"/>
      <c r="J33" s="4314">
        <f>SUMIF(93:93,I33,94:94)-SUMIF(93:93,C33,94:94)+100</f>
        <v>100</v>
      </c>
      <c r="K33" s="413"/>
      <c r="L33" s="2203"/>
      <c r="M33" s="2197"/>
      <c r="N33" s="2197"/>
      <c r="O33" s="2255"/>
      <c r="P33" s="4761"/>
      <c r="Q33" s="999">
        <f t="shared" si="11"/>
        <v>111</v>
      </c>
      <c r="R33" s="4336" t="s">
        <v>13</v>
      </c>
      <c r="S33" s="4339">
        <f t="shared" si="12"/>
        <v>100</v>
      </c>
      <c r="T33" s="4336" t="s">
        <v>13</v>
      </c>
      <c r="U33" s="4339">
        <f t="shared" si="13"/>
        <v>100</v>
      </c>
      <c r="V33" s="4336" t="s">
        <v>13</v>
      </c>
      <c r="W33" s="4339">
        <f t="shared" si="14"/>
        <v>100</v>
      </c>
      <c r="X33" s="1002"/>
      <c r="Y33" s="4761"/>
      <c r="Z33" s="1003">
        <f t="shared" si="15"/>
        <v>111</v>
      </c>
      <c r="AA33" s="1000">
        <f t="shared" si="3"/>
        <v>1</v>
      </c>
      <c r="AB33" s="1000">
        <f t="shared" si="4"/>
        <v>1</v>
      </c>
      <c r="AC33" s="1000">
        <f t="shared" si="5"/>
        <v>1</v>
      </c>
    </row>
    <row r="34" spans="1:30" ht="15.75" thickBot="1">
      <c r="A34" s="292"/>
      <c r="B34" s="1502">
        <v>111</v>
      </c>
      <c r="C34" s="268"/>
      <c r="D34" s="3286">
        <v>100</v>
      </c>
      <c r="E34" s="1572"/>
      <c r="F34" s="4318">
        <f>SUMIF(95:95,E34,96:96)-SUMIF(95:95,C34,96:96)+100</f>
        <v>100</v>
      </c>
      <c r="G34" s="1572"/>
      <c r="H34" s="4311">
        <f>SUMIF(95:95,G34,96:96)-SUMIF(95:95,C34,96:96)+100</f>
        <v>100</v>
      </c>
      <c r="I34" s="1572"/>
      <c r="J34" s="4311">
        <f>SUMIF(95:95,I34,96:96)-SUMIF(95:95,C34,96:96)+100</f>
        <v>100</v>
      </c>
      <c r="K34" s="413"/>
      <c r="L34" s="2203"/>
      <c r="M34" s="2197"/>
      <c r="N34" s="2197"/>
      <c r="O34" s="2255"/>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24" t="str">
        <f>A35</f>
        <v>成交单价（元/平方米）</v>
      </c>
      <c r="Q35" s="4824"/>
      <c r="R35" s="4825">
        <f>E35</f>
        <v>0</v>
      </c>
      <c r="S35" s="4825"/>
      <c r="T35" s="4825">
        <f>G35</f>
        <v>0</v>
      </c>
      <c r="U35" s="4825"/>
      <c r="V35" s="4825">
        <f>I35</f>
        <v>0</v>
      </c>
      <c r="W35" s="4825"/>
      <c r="X35" s="504"/>
      <c r="Y35" s="520"/>
      <c r="Z35" s="504"/>
      <c r="AA35" s="504"/>
      <c r="AB35" s="504"/>
      <c r="AC35" s="504"/>
    </row>
    <row r="36" spans="1:30" ht="15.75" thickBot="1">
      <c r="A36" s="296" t="s">
        <v>1711</v>
      </c>
      <c r="B36" s="297"/>
      <c r="C36" s="4293" t="e">
        <f>R37</f>
        <v>#DIV/0!</v>
      </c>
      <c r="D36" s="4462" t="s">
        <v>2053</v>
      </c>
      <c r="E36" s="4304" t="e">
        <f>R36</f>
        <v>#DIV/0!</v>
      </c>
      <c r="F36" s="3182"/>
      <c r="G36" s="4293" t="e">
        <f>T36</f>
        <v>#DIV/0!</v>
      </c>
      <c r="H36" s="3182"/>
      <c r="I36" s="4304" t="e">
        <f>V36</f>
        <v>#DIV/0!</v>
      </c>
      <c r="J36" s="3182"/>
      <c r="K36" s="3237">
        <f>F36+H36+J36</f>
        <v>0</v>
      </c>
      <c r="L36" s="2205"/>
      <c r="M36" s="2206"/>
      <c r="N36" s="2197"/>
      <c r="O36" s="2206"/>
      <c r="P36" s="4824" t="str">
        <f>A36</f>
        <v>比较价值（元/平方米）</v>
      </c>
      <c r="Q36" s="4824"/>
      <c r="R36" s="4825" t="e">
        <f>IF(F1="售价",ROUND(PRODUCT(R35,AA7:AA34),0),ROUND(PRODUCT(R35,AA7:AA34),1))</f>
        <v>#DIV/0!</v>
      </c>
      <c r="S36" s="4825"/>
      <c r="T36" s="4825" t="e">
        <f>IF(F1="售价",ROUND(PRODUCT(T35,AB7:AB34),0),ROUND(PRODUCT(T35,AB7:AB34),1))</f>
        <v>#DIV/0!</v>
      </c>
      <c r="U36" s="4825"/>
      <c r="V36" s="4825" t="e">
        <f>IF(F1="售价",ROUND(PRODUCT(V35,AC7:AC34),0),ROUND(PRODUCT(V35,AC7:AC34),1))</f>
        <v>#DIV/0!</v>
      </c>
      <c r="W36" s="4825"/>
      <c r="X36" s="504"/>
      <c r="Y36" s="504"/>
      <c r="Z36" s="504"/>
      <c r="AA36" s="504"/>
      <c r="AB36" s="504"/>
      <c r="AC36" s="504"/>
    </row>
    <row r="37" spans="1:30" ht="15.75" thickBot="1">
      <c r="A37" s="298" t="s">
        <v>1712</v>
      </c>
      <c r="B37" s="299"/>
      <c r="C37" s="4305" t="e">
        <f>R37</f>
        <v>#DIV/0!</v>
      </c>
      <c r="D37" s="848"/>
      <c r="E37" s="848"/>
      <c r="F37" s="848"/>
      <c r="G37" s="848"/>
      <c r="H37" s="848"/>
      <c r="I37" s="848"/>
      <c r="J37" s="848"/>
      <c r="K37" s="522"/>
      <c r="L37" s="2205"/>
      <c r="M37" s="2206"/>
      <c r="N37" s="2206"/>
      <c r="O37" s="2206"/>
      <c r="P37" s="4826" t="str">
        <f>A37</f>
        <v>估价对象XX用房的比较价值（楼面单价，元/平方米）</v>
      </c>
      <c r="Q37" s="4827"/>
      <c r="R37" s="4828" t="e">
        <f>IF(F1="售价",ROUND(IF(D36="简单平均",AVERAGE(R36:W36),R36*F36+T36*H36+V36*J36),0),ROUND(IF(D36="简单平均",AVERAGE(R36:V36),R36*F36+T36*H36+V36*J36),1))</f>
        <v>#DIV/0!</v>
      </c>
      <c r="S37" s="4828"/>
      <c r="T37" s="4828"/>
      <c r="U37" s="4828"/>
      <c r="V37" s="4828"/>
      <c r="W37" s="4828"/>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1" zoomScale="85" zoomScaleNormal="60" zoomScaleSheetLayoutView="85" workbookViewId="0">
      <selection activeCell="H70" sqref="H7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26028</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6555</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41351</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2757</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70" t="s">
        <v>1688</v>
      </c>
      <c r="D6" s="4771"/>
      <c r="E6" s="4772" t="s">
        <v>1689</v>
      </c>
      <c r="F6" s="4773"/>
      <c r="G6" s="4770" t="s">
        <v>1690</v>
      </c>
      <c r="H6" s="4771"/>
      <c r="I6" s="4770" t="s">
        <v>1691</v>
      </c>
      <c r="J6" s="4771"/>
      <c r="K6" s="3245"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30" ht="15">
      <c r="A7" s="245"/>
      <c r="B7" s="246"/>
      <c r="C7" s="4789" t="s">
        <v>1591</v>
      </c>
      <c r="D7" s="4790"/>
      <c r="E7" s="4804" t="str">
        <f>土地案例!A21</f>
        <v>北京市石景山区衙门口棚户区改造土地开发项目1616-613、616、617地块B4综合性商业金融服务业用地、F3其他类多功能用地</v>
      </c>
      <c r="F7" s="4805"/>
      <c r="G7" s="4789" t="str">
        <f>土地案例!A22</f>
        <v>北京市石景山区中关村科技园区石景山园北I区1605-650地块B23研发设计用地</v>
      </c>
      <c r="H7" s="4790"/>
      <c r="I7" s="4789" t="str">
        <f>土地案例!A23</f>
        <v>北京市石景山区中关村科技园石景山园北Ⅱ区西井地块土地一级开发项目1606-605地块B23研发设计用地</v>
      </c>
      <c r="J7" s="4790"/>
      <c r="K7" s="3245"/>
      <c r="L7" s="2196"/>
      <c r="M7" s="2197"/>
      <c r="N7" s="2197"/>
      <c r="O7" s="2197"/>
      <c r="P7" s="4776"/>
      <c r="Q7" s="4777"/>
      <c r="R7" s="4782"/>
      <c r="S7" s="4783"/>
      <c r="T7" s="4782"/>
      <c r="U7" s="4783"/>
      <c r="V7" s="4786"/>
      <c r="W7" s="4786"/>
      <c r="X7" s="1002"/>
      <c r="Y7" s="4797"/>
      <c r="Z7" s="4798"/>
      <c r="AA7" s="4768"/>
      <c r="AB7" s="4768"/>
      <c r="AC7" s="4768"/>
    </row>
    <row r="8" spans="1:30" ht="15.75" thickBot="1">
      <c r="A8" s="247"/>
      <c r="B8" s="248"/>
      <c r="C8" s="4787" t="s">
        <v>1595</v>
      </c>
      <c r="D8" s="4788"/>
      <c r="E8" s="4802" t="s">
        <v>1595</v>
      </c>
      <c r="F8" s="4803"/>
      <c r="G8" s="4787" t="s">
        <v>1595</v>
      </c>
      <c r="H8" s="4788"/>
      <c r="I8" s="4787" t="s">
        <v>1595</v>
      </c>
      <c r="J8" s="4788"/>
      <c r="K8" s="3245" t="s">
        <v>1596</v>
      </c>
      <c r="L8" s="2196"/>
      <c r="M8" s="2197"/>
      <c r="N8" s="2197"/>
      <c r="O8" s="2197"/>
      <c r="P8" s="4778"/>
      <c r="Q8" s="4779"/>
      <c r="R8" s="4782"/>
      <c r="S8" s="4783"/>
      <c r="T8" s="4784"/>
      <c r="U8" s="4785"/>
      <c r="V8" s="4786"/>
      <c r="W8" s="4786"/>
      <c r="X8" s="1002"/>
      <c r="Y8" s="4799"/>
      <c r="Z8" s="4800"/>
      <c r="AA8" s="4769"/>
      <c r="AB8" s="4769"/>
      <c r="AC8" s="4769"/>
    </row>
    <row r="9" spans="1:30" s="49" customFormat="1" ht="15.75" thickBot="1">
      <c r="A9" s="3533" t="s">
        <v>1597</v>
      </c>
      <c r="B9" s="3534"/>
      <c r="C9" s="3192">
        <f>'数据-取费表'!B2</f>
        <v>46041</v>
      </c>
      <c r="D9" s="3268">
        <v>100</v>
      </c>
      <c r="E9" s="3222" t="str">
        <f>土地案例!L21</f>
        <v>2025-12-30</v>
      </c>
      <c r="F9" s="4277">
        <f>SUMIF(71:71,YEAR(E9)&amp;"-"&amp;INT((MONTH(E9)+2)/3),72:72)</f>
        <v>100</v>
      </c>
      <c r="G9" s="3564" t="str">
        <f>土地案例!L22</f>
        <v>2024-01-17</v>
      </c>
      <c r="H9" s="4289">
        <f>SUMIF(71:71,YEAR(G9)&amp;"-"&amp;INT((MONTH(G9)+2)/3),72:72)</f>
        <v>105.24</v>
      </c>
      <c r="I9" s="3564" t="str">
        <f>土地案例!L23</f>
        <v>2023-01-05</v>
      </c>
      <c r="J9" s="4289">
        <f>SUMIF(71:71,YEAR(I9)&amp;"-"&amp;INT((MONTH(I9)+2)/3),72:72)</f>
        <v>104.08</v>
      </c>
      <c r="K9" s="3568"/>
      <c r="L9" s="2198"/>
      <c r="M9" s="2199"/>
      <c r="N9" s="2199"/>
      <c r="O9" s="2199"/>
      <c r="P9" s="4791" t="s">
        <v>1598</v>
      </c>
      <c r="Q9" s="4801"/>
      <c r="R9" s="4327" t="s">
        <v>13</v>
      </c>
      <c r="S9" s="4330">
        <f t="shared" ref="S9:S17" si="0">F9</f>
        <v>100</v>
      </c>
      <c r="T9" s="4327" t="s">
        <v>13</v>
      </c>
      <c r="U9" s="4330">
        <f t="shared" ref="U9:U17" si="1">H9</f>
        <v>105.24</v>
      </c>
      <c r="V9" s="4327" t="s">
        <v>13</v>
      </c>
      <c r="W9" s="4330">
        <f t="shared" ref="W9:W17" si="2">J9</f>
        <v>104.08</v>
      </c>
      <c r="X9" s="515"/>
      <c r="Y9" s="4793" t="s">
        <v>1598</v>
      </c>
      <c r="Z9" s="4794"/>
      <c r="AA9" s="516">
        <f>D9/F9</f>
        <v>1</v>
      </c>
      <c r="AB9" s="516">
        <f>D9/H9</f>
        <v>0.95020904599011791</v>
      </c>
      <c r="AC9" s="516">
        <f>D9/J9</f>
        <v>0.96079938508839358</v>
      </c>
    </row>
    <row r="10" spans="1:30" s="49" customFormat="1" ht="15.75" thickBot="1">
      <c r="A10" s="3533" t="s">
        <v>1599</v>
      </c>
      <c r="B10" s="3534"/>
      <c r="C10" s="3193" t="s">
        <v>3995</v>
      </c>
      <c r="D10" s="3268">
        <v>100</v>
      </c>
      <c r="E10" s="3193" t="s">
        <v>3995</v>
      </c>
      <c r="F10" s="4277">
        <f>SUMIF(74:74,E10,75:75)-SUMIF(74:74,C10,75:75)+100</f>
        <v>100</v>
      </c>
      <c r="G10" s="3193" t="s">
        <v>3995</v>
      </c>
      <c r="H10" s="4289">
        <f>SUMIF(74:74,G10,75:75)-SUMIF(74:74,C10,75:75)+100</f>
        <v>100</v>
      </c>
      <c r="I10" s="3193" t="s">
        <v>3995</v>
      </c>
      <c r="J10" s="4289">
        <f>SUMIF(74:74,I10,75:75)-SUMIF(74:74,C10,75:75)+100</f>
        <v>100</v>
      </c>
      <c r="K10" s="3568"/>
      <c r="L10" s="2198"/>
      <c r="M10" s="2199"/>
      <c r="N10" s="2199"/>
      <c r="O10" s="2199"/>
      <c r="P10" s="4791" t="s">
        <v>1601</v>
      </c>
      <c r="Q10" s="4792"/>
      <c r="R10" s="4327" t="s">
        <v>13</v>
      </c>
      <c r="S10" s="4330">
        <f t="shared" si="0"/>
        <v>100</v>
      </c>
      <c r="T10" s="4327" t="s">
        <v>13</v>
      </c>
      <c r="U10" s="4330">
        <f t="shared" si="1"/>
        <v>100</v>
      </c>
      <c r="V10" s="4327" t="s">
        <v>13</v>
      </c>
      <c r="W10" s="4330">
        <f t="shared" si="2"/>
        <v>100</v>
      </c>
      <c r="X10" s="515"/>
      <c r="Y10" s="4793" t="s">
        <v>1601</v>
      </c>
      <c r="Z10" s="4794"/>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4036</v>
      </c>
      <c r="F11" s="4290">
        <f>SUMIF(76:76,E11,77:77)-SUMIF(76:76,C11,77:77)+100</f>
        <v>110</v>
      </c>
      <c r="G11" s="3535" t="s">
        <v>4005</v>
      </c>
      <c r="H11" s="4290">
        <f>SUMIF(76:76,G11,77:77)-SUMIF(76:76,C11,77:77)+100</f>
        <v>100</v>
      </c>
      <c r="I11" s="3535" t="s">
        <v>4005</v>
      </c>
      <c r="J11" s="4290">
        <f>SUMIF(76:76,I11,77:77)-SUMIF(76:76,C11,77:77)+100</f>
        <v>100</v>
      </c>
      <c r="K11" s="3568"/>
      <c r="L11" s="2198"/>
      <c r="M11" s="2199"/>
      <c r="N11" s="2199"/>
      <c r="O11" s="2253"/>
      <c r="P11" s="4754" t="s">
        <v>1604</v>
      </c>
      <c r="Q11" s="3457" t="str">
        <f t="shared" ref="Q11:Q17" si="6">B11</f>
        <v>用途</v>
      </c>
      <c r="R11" s="4327" t="s">
        <v>13</v>
      </c>
      <c r="S11" s="4330">
        <f t="shared" si="0"/>
        <v>110</v>
      </c>
      <c r="T11" s="4327" t="s">
        <v>13</v>
      </c>
      <c r="U11" s="4330">
        <f t="shared" si="1"/>
        <v>100</v>
      </c>
      <c r="V11" s="4327" t="s">
        <v>13</v>
      </c>
      <c r="W11" s="4330">
        <f t="shared" si="2"/>
        <v>100</v>
      </c>
      <c r="X11" s="515"/>
      <c r="Y11" s="4766" t="s">
        <v>1605</v>
      </c>
      <c r="Z11" s="28" t="str">
        <f t="shared" ref="Z11:Z17" si="7">Q11</f>
        <v>用途</v>
      </c>
      <c r="AA11" s="516">
        <f t="shared" si="3"/>
        <v>0.90909090909090906</v>
      </c>
      <c r="AB11" s="516">
        <f t="shared" si="4"/>
        <v>1</v>
      </c>
      <c r="AC11" s="516">
        <f t="shared" si="5"/>
        <v>1</v>
      </c>
    </row>
    <row r="12" spans="1:30" s="260" customFormat="1" ht="27">
      <c r="A12" s="3536"/>
      <c r="B12" s="3459" t="s">
        <v>1606</v>
      </c>
      <c r="C12" s="4471" t="s">
        <v>4012</v>
      </c>
      <c r="D12" s="3270">
        <v>100</v>
      </c>
      <c r="E12" s="3248"/>
      <c r="F12" s="4291">
        <v>100</v>
      </c>
      <c r="G12" s="3254"/>
      <c r="H12" s="4291">
        <v>100</v>
      </c>
      <c r="I12" s="3254"/>
      <c r="J12" s="4291">
        <v>100</v>
      </c>
      <c r="K12" s="3569"/>
      <c r="L12" s="2200"/>
      <c r="M12" s="2201"/>
      <c r="N12" s="2201"/>
      <c r="O12" s="2254"/>
      <c r="P12" s="4754"/>
      <c r="Q12" s="3457" t="str">
        <f t="shared" si="6"/>
        <v>土地使用年限（年）</v>
      </c>
      <c r="R12" s="4327" t="s">
        <v>13</v>
      </c>
      <c r="S12" s="4330">
        <f t="shared" si="0"/>
        <v>100</v>
      </c>
      <c r="T12" s="4327" t="s">
        <v>13</v>
      </c>
      <c r="U12" s="4330">
        <f t="shared" si="1"/>
        <v>100</v>
      </c>
      <c r="V12" s="4327" t="s">
        <v>13</v>
      </c>
      <c r="W12" s="4330">
        <f t="shared" si="2"/>
        <v>100</v>
      </c>
      <c r="X12" s="515"/>
      <c r="Y12" s="4766"/>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1">
        <f>LOOKUP(E13,81:81,82:82)-LOOKUP(C13,81:81,82:82)+100</f>
        <v>106</v>
      </c>
      <c r="G13" s="3225">
        <v>2.4</v>
      </c>
      <c r="H13" s="4291">
        <f>LOOKUP(G13,81:81,82:82)-LOOKUP(C13,81:81,82:82)+100</f>
        <v>106</v>
      </c>
      <c r="I13" s="3196">
        <v>3</v>
      </c>
      <c r="J13" s="4291">
        <f>LOOKUP(I13,81:81,82:82)-LOOKUP(C13,81:81,82:82)+100</f>
        <v>104</v>
      </c>
      <c r="K13" s="3593">
        <v>2</v>
      </c>
      <c r="L13" s="2202"/>
      <c r="M13" s="2197"/>
      <c r="N13" s="2197"/>
      <c r="O13" s="2255"/>
      <c r="P13" s="4754"/>
      <c r="Q13" s="3457" t="str">
        <f t="shared" si="6"/>
        <v>容积率</v>
      </c>
      <c r="R13" s="4327" t="s">
        <v>13</v>
      </c>
      <c r="S13" s="4330">
        <f t="shared" si="0"/>
        <v>106</v>
      </c>
      <c r="T13" s="4327" t="s">
        <v>13</v>
      </c>
      <c r="U13" s="4330">
        <f t="shared" si="1"/>
        <v>106</v>
      </c>
      <c r="V13" s="4327" t="s">
        <v>13</v>
      </c>
      <c r="W13" s="4330">
        <f t="shared" si="2"/>
        <v>104</v>
      </c>
      <c r="X13" s="515"/>
      <c r="Y13" s="4766"/>
      <c r="Z13" s="28" t="str">
        <f t="shared" si="7"/>
        <v>容积率</v>
      </c>
      <c r="AA13" s="516">
        <f t="shared" si="3"/>
        <v>0.94339622641509435</v>
      </c>
      <c r="AB13" s="516">
        <f t="shared" si="4"/>
        <v>0.94339622641509435</v>
      </c>
      <c r="AC13" s="516">
        <f t="shared" si="5"/>
        <v>0.96153846153846156</v>
      </c>
    </row>
    <row r="14" spans="1:30" s="49" customFormat="1" ht="15">
      <c r="A14" s="3538"/>
      <c r="B14" s="4472" t="s">
        <v>4013</v>
      </c>
      <c r="C14" s="4471" t="s">
        <v>4014</v>
      </c>
      <c r="D14" s="3271">
        <v>100</v>
      </c>
      <c r="E14" s="4471" t="s">
        <v>4014</v>
      </c>
      <c r="F14" s="4291">
        <f>SUMIF(83:83,E14,84:84)-SUMIF(83:83,C14,84:84)+100</f>
        <v>100</v>
      </c>
      <c r="G14" s="4471" t="s">
        <v>4014</v>
      </c>
      <c r="H14" s="4291">
        <f>SUMIF(83:83,G14,84:84)-SUMIF(83:83,C14,84:84)+100</f>
        <v>100</v>
      </c>
      <c r="I14" s="4471" t="s">
        <v>4014</v>
      </c>
      <c r="J14" s="4291">
        <f>SUMIF(83:83,I14,84:84)-SUMIF(83:83,C14,84:84)+100</f>
        <v>100</v>
      </c>
      <c r="K14" s="3594"/>
      <c r="L14" s="2198"/>
      <c r="M14" s="2199"/>
      <c r="N14" s="2199"/>
      <c r="O14" s="2253"/>
      <c r="P14" s="4754"/>
      <c r="Q14" s="3457" t="str">
        <f t="shared" si="6"/>
        <v>自持</v>
      </c>
      <c r="R14" s="4327" t="s">
        <v>13</v>
      </c>
      <c r="S14" s="4330">
        <f t="shared" si="0"/>
        <v>100</v>
      </c>
      <c r="T14" s="4327" t="s">
        <v>13</v>
      </c>
      <c r="U14" s="4330">
        <f t="shared" si="1"/>
        <v>100</v>
      </c>
      <c r="V14" s="4327" t="s">
        <v>13</v>
      </c>
      <c r="W14" s="4330">
        <f t="shared" si="2"/>
        <v>100</v>
      </c>
      <c r="X14" s="515"/>
      <c r="Y14" s="4766"/>
      <c r="Z14" s="28" t="str">
        <f t="shared" si="7"/>
        <v>自持</v>
      </c>
      <c r="AA14" s="516">
        <f>D14/F14</f>
        <v>1</v>
      </c>
      <c r="AB14" s="516">
        <f>D14/H14</f>
        <v>1</v>
      </c>
      <c r="AC14" s="516">
        <f>D14/J14</f>
        <v>1</v>
      </c>
    </row>
    <row r="15" spans="1:30" ht="15">
      <c r="A15" s="3537"/>
      <c r="B15" s="3174">
        <v>111</v>
      </c>
      <c r="C15" s="3198"/>
      <c r="D15" s="3272">
        <v>100</v>
      </c>
      <c r="E15" s="3559"/>
      <c r="F15" s="4291">
        <f>SUMIF(85:85,E15,86:86)-SUMIF(85:85,C15,86:86)+100</f>
        <v>100</v>
      </c>
      <c r="G15" s="3545"/>
      <c r="H15" s="4285">
        <f>SUMIF(85:85,G15,86:86)-SUMIF(85:85,C15,86:86)+100</f>
        <v>100</v>
      </c>
      <c r="I15" s="3545"/>
      <c r="J15" s="4285">
        <f>SUMIF(85:85,I15,86:86)-SUMIF(85:85,C15,86:86)+100</f>
        <v>100</v>
      </c>
      <c r="K15" s="3594"/>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D15/F15</f>
        <v>1</v>
      </c>
      <c r="AB15" s="516">
        <f>D15/H15</f>
        <v>1</v>
      </c>
      <c r="AC15" s="516">
        <f>D15/J15</f>
        <v>1</v>
      </c>
    </row>
    <row r="16" spans="1:30" ht="15.75" thickBot="1">
      <c r="A16" s="3539"/>
      <c r="B16" s="3175">
        <v>111</v>
      </c>
      <c r="C16" s="3199"/>
      <c r="D16" s="3273">
        <v>100</v>
      </c>
      <c r="E16" s="3559"/>
      <c r="F16" s="4287">
        <f>SUMIF(87:87,E16,88:88)-SUMIF(87:87,C16,88:88)+100</f>
        <v>100</v>
      </c>
      <c r="G16" s="3545"/>
      <c r="H16" s="4287">
        <f>SUMIF(87:87,G16,88:88)-SUMIF(87:87,C16,88:88)+100</f>
        <v>100</v>
      </c>
      <c r="I16" s="3545"/>
      <c r="J16" s="4287">
        <f>SUMIF(87:87,I16,88:88)-SUMIF(87:87,C16,88:88)+100</f>
        <v>100</v>
      </c>
      <c r="K16" s="3594"/>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1">
        <f>SUMIF(89:89,E18,90:90)-SUMIF(89:89,C18,90:90)+100</f>
        <v>102</v>
      </c>
      <c r="G17" s="3226"/>
      <c r="H17" s="4281">
        <f>SUMIF(89:89,G18,90:90)-SUMIF(89:89,C18,90:90)+100</f>
        <v>102</v>
      </c>
      <c r="I17" s="3232"/>
      <c r="J17" s="4281">
        <f>SUMIF(89:89,I18,90:90)-SUMIF(89:89,C18,90:90)+100</f>
        <v>102</v>
      </c>
      <c r="K17" s="3593">
        <v>2</v>
      </c>
      <c r="L17" s="2203"/>
      <c r="M17" s="2197"/>
      <c r="N17" s="2197"/>
      <c r="O17" s="2255"/>
      <c r="P17" s="4807" t="s">
        <v>1609</v>
      </c>
      <c r="Q17" s="3460" t="str">
        <f t="shared" si="6"/>
        <v>居住社区成熟度</v>
      </c>
      <c r="R17" s="4328" t="s">
        <v>13</v>
      </c>
      <c r="S17" s="4331">
        <f t="shared" si="0"/>
        <v>102</v>
      </c>
      <c r="T17" s="4328" t="s">
        <v>13</v>
      </c>
      <c r="U17" s="4331">
        <f t="shared" si="1"/>
        <v>102</v>
      </c>
      <c r="V17" s="4328" t="s">
        <v>13</v>
      </c>
      <c r="W17" s="4331">
        <f t="shared" si="2"/>
        <v>102</v>
      </c>
      <c r="X17" s="1002"/>
      <c r="Y17" s="4756" t="s">
        <v>1609</v>
      </c>
      <c r="Z17" s="1003" t="str">
        <f t="shared" si="7"/>
        <v>居住社区成熟度</v>
      </c>
      <c r="AA17" s="1000">
        <f t="shared" si="3"/>
        <v>0.98039215686274506</v>
      </c>
      <c r="AB17" s="1000">
        <f t="shared" si="4"/>
        <v>0.98039215686274506</v>
      </c>
      <c r="AC17" s="1000">
        <f t="shared" si="5"/>
        <v>0.98039215686274506</v>
      </c>
    </row>
    <row r="18" spans="1:29" ht="15">
      <c r="A18" s="3537"/>
      <c r="B18" s="3177"/>
      <c r="C18" s="3201" t="s">
        <v>3658</v>
      </c>
      <c r="D18" s="3275"/>
      <c r="E18" s="3228" t="s">
        <v>3659</v>
      </c>
      <c r="F18" s="4282"/>
      <c r="G18" s="3230" t="s">
        <v>3659</v>
      </c>
      <c r="H18" s="4283"/>
      <c r="I18" s="3228" t="s">
        <v>3659</v>
      </c>
      <c r="J18" s="4282"/>
      <c r="K18" s="3594"/>
      <c r="L18" s="2203"/>
      <c r="M18" s="2197"/>
      <c r="N18" s="2197"/>
      <c r="O18" s="2255"/>
      <c r="P18" s="4808"/>
      <c r="Q18" s="3460"/>
      <c r="R18" s="4328"/>
      <c r="S18" s="4331"/>
      <c r="T18" s="4328"/>
      <c r="U18" s="4331"/>
      <c r="V18" s="4328"/>
      <c r="W18" s="4331"/>
      <c r="X18" s="1002"/>
      <c r="Y18" s="4757"/>
      <c r="Z18" s="1003"/>
      <c r="AA18" s="1000">
        <v>1</v>
      </c>
      <c r="AB18" s="1000">
        <v>1</v>
      </c>
      <c r="AC18" s="1000">
        <v>1</v>
      </c>
    </row>
    <row r="19" spans="1:29" ht="15">
      <c r="A19" s="3537"/>
      <c r="B19" s="3178" t="s">
        <v>1695</v>
      </c>
      <c r="C19" s="3217">
        <f>估价对象房地状况!C16</f>
        <v>0</v>
      </c>
      <c r="D19" s="3276">
        <v>100</v>
      </c>
      <c r="E19" s="3227"/>
      <c r="F19" s="4283">
        <f>SUMIF(91:91,E20,92:92)-SUMIF(91:91,C20,92:92)+100</f>
        <v>102</v>
      </c>
      <c r="G19" s="3227"/>
      <c r="H19" s="4284">
        <f>SUMIF(91:91,G20,92:92)-SUMIF(91:91,C20,92:92)+100</f>
        <v>102</v>
      </c>
      <c r="I19" s="3233"/>
      <c r="J19" s="4284">
        <f>SUMIF(91:91,I20,92:92)-SUMIF(91:91,C20,92:92)+100</f>
        <v>102</v>
      </c>
      <c r="K19" s="3593">
        <v>2</v>
      </c>
      <c r="L19" s="2203"/>
      <c r="M19" s="2197"/>
      <c r="N19" s="2197"/>
      <c r="O19" s="2255"/>
      <c r="P19" s="4808"/>
      <c r="Q19" s="3460" t="str">
        <f>B19</f>
        <v>商业繁华度</v>
      </c>
      <c r="R19" s="4328" t="s">
        <v>13</v>
      </c>
      <c r="S19" s="4331">
        <f>F19</f>
        <v>102</v>
      </c>
      <c r="T19" s="4328" t="s">
        <v>13</v>
      </c>
      <c r="U19" s="4331">
        <f>H19</f>
        <v>102</v>
      </c>
      <c r="V19" s="4328" t="s">
        <v>13</v>
      </c>
      <c r="W19" s="4331">
        <f>J19</f>
        <v>102</v>
      </c>
      <c r="X19" s="1002"/>
      <c r="Y19" s="4757"/>
      <c r="Z19" s="1003" t="str">
        <f>Q19</f>
        <v>商业繁华度</v>
      </c>
      <c r="AA19" s="1000">
        <f t="shared" si="3"/>
        <v>0.98039215686274506</v>
      </c>
      <c r="AB19" s="1000">
        <f t="shared" si="4"/>
        <v>0.98039215686274506</v>
      </c>
      <c r="AC19" s="1000">
        <f t="shared" si="5"/>
        <v>0.98039215686274506</v>
      </c>
    </row>
    <row r="20" spans="1:29" ht="15">
      <c r="A20" s="3537"/>
      <c r="B20" s="3179"/>
      <c r="C20" s="3203" t="s">
        <v>3658</v>
      </c>
      <c r="D20" s="3276"/>
      <c r="E20" s="3228" t="s">
        <v>3659</v>
      </c>
      <c r="F20" s="4283"/>
      <c r="G20" s="3228" t="s">
        <v>3659</v>
      </c>
      <c r="H20" s="4282"/>
      <c r="I20" s="3228" t="s">
        <v>3659</v>
      </c>
      <c r="J20" s="4282"/>
      <c r="K20" s="3594"/>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178" t="s">
        <v>1729</v>
      </c>
      <c r="C21" s="3217">
        <f>估价对象房地状况!C17</f>
        <v>0</v>
      </c>
      <c r="D21" s="3277">
        <v>100</v>
      </c>
      <c r="E21" s="3229"/>
      <c r="F21" s="4284">
        <f>SUMIF(93:93,E22,94:94)-SUMIF(93:93,C22,94:94)+100</f>
        <v>102</v>
      </c>
      <c r="G21" s="3229"/>
      <c r="H21" s="4283">
        <f>SUMIF(93:93,G22,94:94)-SUMIF(93:93,C22,94:94)+100</f>
        <v>102</v>
      </c>
      <c r="I21" s="3235"/>
      <c r="J21" s="4283">
        <f>SUMIF(93:93,I22,94:94)-SUMIF(93:93,C22,94:94)+100</f>
        <v>102</v>
      </c>
      <c r="K21" s="3593">
        <v>2</v>
      </c>
      <c r="L21" s="2203"/>
      <c r="M21" s="2197"/>
      <c r="N21" s="2197"/>
      <c r="O21" s="2255"/>
      <c r="P21" s="4808"/>
      <c r="Q21" s="3460" t="str">
        <f>B21</f>
        <v>办公集聚程度</v>
      </c>
      <c r="R21" s="4328" t="s">
        <v>13</v>
      </c>
      <c r="S21" s="4331">
        <f>F21</f>
        <v>102</v>
      </c>
      <c r="T21" s="4328" t="s">
        <v>13</v>
      </c>
      <c r="U21" s="4331">
        <f>H21</f>
        <v>102</v>
      </c>
      <c r="V21" s="4328" t="s">
        <v>13</v>
      </c>
      <c r="W21" s="4331">
        <f>J21</f>
        <v>102</v>
      </c>
      <c r="X21" s="1002"/>
      <c r="Y21" s="4757"/>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2"/>
      <c r="G22" s="3228" t="s">
        <v>3659</v>
      </c>
      <c r="H22" s="4282"/>
      <c r="I22" s="3228" t="s">
        <v>3659</v>
      </c>
      <c r="J22" s="4282"/>
      <c r="K22" s="3594"/>
      <c r="L22" s="2203"/>
      <c r="M22" s="2197"/>
      <c r="N22" s="2197"/>
      <c r="O22" s="2255"/>
      <c r="P22" s="4808"/>
      <c r="Q22" s="3460"/>
      <c r="R22" s="4328"/>
      <c r="S22" s="4331"/>
      <c r="T22" s="4328"/>
      <c r="U22" s="4331"/>
      <c r="V22" s="4328"/>
      <c r="W22" s="4331"/>
      <c r="X22" s="1002"/>
      <c r="Y22" s="4757"/>
      <c r="Z22" s="1003"/>
      <c r="AA22" s="1000">
        <v>1</v>
      </c>
      <c r="AB22" s="1000">
        <v>1</v>
      </c>
      <c r="AC22" s="1000">
        <v>1</v>
      </c>
    </row>
    <row r="23" spans="1:29" ht="15">
      <c r="A23" s="3537"/>
      <c r="B23" s="3178" t="s">
        <v>1751</v>
      </c>
      <c r="C23" s="3202">
        <f>估价对象房地状况!C18</f>
        <v>0</v>
      </c>
      <c r="D23" s="3276">
        <v>100</v>
      </c>
      <c r="E23" s="3227"/>
      <c r="F23" s="4284">
        <f>SUMIF(95:95,E24,96:96)-SUMIF(95:95,C24,96:96)+100</f>
        <v>100</v>
      </c>
      <c r="G23" s="3227"/>
      <c r="H23" s="4283">
        <f>SUMIF(95:95,G24,96:96)-SUMIF(95:95,C24,96:96)+100</f>
        <v>100</v>
      </c>
      <c r="I23" s="3233"/>
      <c r="J23" s="4283">
        <f>SUMIF(95:95,I24,96:96)-SUMIF(95:95,C24,96:96)+100</f>
        <v>100</v>
      </c>
      <c r="K23" s="3593"/>
      <c r="L23" s="2203"/>
      <c r="M23" s="2197"/>
      <c r="N23" s="2197"/>
      <c r="O23" s="2255"/>
      <c r="P23" s="4808"/>
      <c r="Q23" s="3460" t="str">
        <f>B23</f>
        <v>交通便捷度</v>
      </c>
      <c r="R23" s="4328" t="s">
        <v>13</v>
      </c>
      <c r="S23" s="4331">
        <f>F23</f>
        <v>100</v>
      </c>
      <c r="T23" s="4328" t="s">
        <v>13</v>
      </c>
      <c r="U23" s="4331">
        <f>H23</f>
        <v>100</v>
      </c>
      <c r="V23" s="4328" t="s">
        <v>13</v>
      </c>
      <c r="W23" s="4331">
        <f>J23</f>
        <v>100</v>
      </c>
      <c r="X23" s="1002"/>
      <c r="Y23" s="4757"/>
      <c r="Z23" s="1003" t="str">
        <f>Q23</f>
        <v>交通便捷度</v>
      </c>
      <c r="AA23" s="1000">
        <f t="shared" si="3"/>
        <v>1</v>
      </c>
      <c r="AB23" s="1000">
        <f t="shared" si="4"/>
        <v>1</v>
      </c>
      <c r="AC23" s="1000">
        <f t="shared" si="5"/>
        <v>1</v>
      </c>
    </row>
    <row r="24" spans="1:29" ht="15">
      <c r="A24" s="3537"/>
      <c r="B24" s="3180"/>
      <c r="C24" s="3201" t="s">
        <v>3658</v>
      </c>
      <c r="D24" s="3276"/>
      <c r="E24" s="3230" t="s">
        <v>3659</v>
      </c>
      <c r="F24" s="4282"/>
      <c r="G24" s="3230" t="s">
        <v>3658</v>
      </c>
      <c r="H24" s="4282"/>
      <c r="I24" s="3236" t="s">
        <v>3658</v>
      </c>
      <c r="J24" s="4282"/>
      <c r="K24" s="3594"/>
      <c r="L24" s="2203"/>
      <c r="M24" s="2197"/>
      <c r="N24" s="2197"/>
      <c r="O24" s="2255"/>
      <c r="P24" s="4808"/>
      <c r="Q24" s="3460"/>
      <c r="R24" s="4328"/>
      <c r="S24" s="4331"/>
      <c r="T24" s="4328"/>
      <c r="U24" s="4331"/>
      <c r="V24" s="4328"/>
      <c r="W24" s="4331"/>
      <c r="X24" s="1002"/>
      <c r="Y24" s="4757"/>
      <c r="Z24" s="1003"/>
      <c r="AA24" s="1000">
        <v>1</v>
      </c>
      <c r="AB24" s="1000">
        <v>1</v>
      </c>
      <c r="AC24" s="1000">
        <v>1</v>
      </c>
    </row>
    <row r="25" spans="1:29" ht="15">
      <c r="A25" s="3541"/>
      <c r="B25" s="3178" t="s">
        <v>1788</v>
      </c>
      <c r="C25" s="3542">
        <f>估价对象房地状况!C19</f>
        <v>0</v>
      </c>
      <c r="D25" s="3277">
        <v>100</v>
      </c>
      <c r="E25" s="3227"/>
      <c r="F25" s="4284">
        <f>SUMIF(97:97,E26,98:98)-SUMIF(97:97,C26,98:98)+100</f>
        <v>100</v>
      </c>
      <c r="G25" s="3233"/>
      <c r="H25" s="4284">
        <f>SUMIF(97:97,G26,98:98)-SUMIF(97:97,C26,98:98)+100</f>
        <v>100</v>
      </c>
      <c r="I25" s="3233"/>
      <c r="J25" s="4284">
        <f>SUMIF(97:97,I26,98:98)-SUMIF(97:97,C26,98:98)+100</f>
        <v>100</v>
      </c>
      <c r="K25" s="3593"/>
      <c r="L25" s="2203"/>
      <c r="M25" s="2197"/>
      <c r="N25" s="2197"/>
      <c r="O25" s="2255"/>
      <c r="P25" s="4808"/>
      <c r="Q25" s="3460" t="str">
        <f t="shared" ref="Q25:Q39" si="8">B25</f>
        <v>区域土地利用方向</v>
      </c>
      <c r="R25" s="4328" t="s">
        <v>13</v>
      </c>
      <c r="S25" s="4331">
        <f>F25</f>
        <v>100</v>
      </c>
      <c r="T25" s="4328" t="s">
        <v>13</v>
      </c>
      <c r="U25" s="4331">
        <f>H25</f>
        <v>100</v>
      </c>
      <c r="V25" s="4328" t="s">
        <v>13</v>
      </c>
      <c r="W25" s="4331">
        <f>J25</f>
        <v>100</v>
      </c>
      <c r="X25" s="1002"/>
      <c r="Y25" s="4757"/>
      <c r="Z25" s="1003" t="str">
        <f>Q25</f>
        <v>区域土地利用方向</v>
      </c>
      <c r="AA25" s="1000">
        <f t="shared" si="3"/>
        <v>1</v>
      </c>
      <c r="AB25" s="1000">
        <f t="shared" si="4"/>
        <v>1</v>
      </c>
      <c r="AC25" s="1000">
        <f t="shared" si="5"/>
        <v>1</v>
      </c>
    </row>
    <row r="26" spans="1:29" ht="15">
      <c r="A26" s="3541"/>
      <c r="B26" s="3179"/>
      <c r="C26" s="3218" t="s">
        <v>3659</v>
      </c>
      <c r="D26" s="3275"/>
      <c r="E26" s="3201" t="s">
        <v>3659</v>
      </c>
      <c r="F26" s="4282"/>
      <c r="G26" s="3201" t="s">
        <v>3659</v>
      </c>
      <c r="H26" s="4282"/>
      <c r="I26" s="3201" t="s">
        <v>3659</v>
      </c>
      <c r="J26" s="4282"/>
      <c r="K26" s="3595"/>
      <c r="L26" s="2203"/>
      <c r="M26" s="2197"/>
      <c r="N26" s="2197"/>
      <c r="O26" s="2255"/>
      <c r="P26" s="4808"/>
      <c r="Q26" s="3460"/>
      <c r="R26" s="4328"/>
      <c r="S26" s="4331"/>
      <c r="T26" s="4328"/>
      <c r="U26" s="4331"/>
      <c r="V26" s="4328"/>
      <c r="W26" s="4331"/>
      <c r="X26" s="1002"/>
      <c r="Y26" s="4757"/>
      <c r="Z26" s="1003"/>
      <c r="AA26" s="1000"/>
      <c r="AB26" s="1000"/>
      <c r="AC26" s="1000"/>
    </row>
    <row r="27" spans="1:29" ht="27">
      <c r="A27" s="3541"/>
      <c r="B27" s="3180" t="s">
        <v>1789</v>
      </c>
      <c r="C27" s="3217">
        <f>估价对象房地状况!C20</f>
        <v>0</v>
      </c>
      <c r="D27" s="3276">
        <v>100</v>
      </c>
      <c r="E27" s="3227"/>
      <c r="F27" s="4283">
        <f>SUMIF(99:99,E28,100:100)-SUMIF(99:99,C28,100:100)+100</f>
        <v>100</v>
      </c>
      <c r="G27" s="3227"/>
      <c r="H27" s="4283">
        <f>SUMIF(99:99,G28,100:100)-SUMIF(99:99,C28,100:100)+100</f>
        <v>100</v>
      </c>
      <c r="I27" s="3233"/>
      <c r="J27" s="4283">
        <f>SUMIF(99:99,I28,100:100)-SUMIF(99:99,C28,100:100)+100</f>
        <v>100</v>
      </c>
      <c r="K27" s="3593"/>
      <c r="L27" s="2203"/>
      <c r="M27" s="2197"/>
      <c r="N27" s="2197"/>
      <c r="O27" s="2255"/>
      <c r="P27" s="4808"/>
      <c r="Q27" s="3460" t="str">
        <f t="shared" si="8"/>
        <v>自然及人文环境状况</v>
      </c>
      <c r="R27" s="4328" t="s">
        <v>13</v>
      </c>
      <c r="S27" s="4331">
        <f>F27</f>
        <v>100</v>
      </c>
      <c r="T27" s="4328" t="s">
        <v>13</v>
      </c>
      <c r="U27" s="4331">
        <f>H27</f>
        <v>100</v>
      </c>
      <c r="V27" s="4328" t="s">
        <v>13</v>
      </c>
      <c r="W27" s="4331">
        <f>J27</f>
        <v>100</v>
      </c>
      <c r="X27" s="1002"/>
      <c r="Y27" s="4757"/>
      <c r="Z27" s="1003" t="str">
        <f>Q27</f>
        <v>自然及人文环境状况</v>
      </c>
      <c r="AA27" s="1000">
        <f t="shared" si="3"/>
        <v>1</v>
      </c>
      <c r="AB27" s="1000">
        <f t="shared" si="4"/>
        <v>1</v>
      </c>
      <c r="AC27" s="1000">
        <f t="shared" si="5"/>
        <v>1</v>
      </c>
    </row>
    <row r="28" spans="1:29" ht="15">
      <c r="A28" s="3541"/>
      <c r="B28" s="3179"/>
      <c r="C28" s="3201" t="s">
        <v>3659</v>
      </c>
      <c r="D28" s="3275"/>
      <c r="E28" s="3201" t="s">
        <v>3659</v>
      </c>
      <c r="F28" s="4282"/>
      <c r="G28" s="3201" t="s">
        <v>3659</v>
      </c>
      <c r="H28" s="4282"/>
      <c r="I28" s="3201" t="s">
        <v>3659</v>
      </c>
      <c r="J28" s="4282"/>
      <c r="K28" s="3594"/>
      <c r="L28" s="2203"/>
      <c r="M28" s="2197"/>
      <c r="N28" s="2197"/>
      <c r="O28" s="2255"/>
      <c r="P28" s="4808"/>
      <c r="Q28" s="3460"/>
      <c r="R28" s="4328"/>
      <c r="S28" s="4331"/>
      <c r="T28" s="4328"/>
      <c r="U28" s="4331"/>
      <c r="V28" s="4328"/>
      <c r="W28" s="4331"/>
      <c r="X28" s="1002"/>
      <c r="Y28" s="4757"/>
      <c r="Z28" s="1003"/>
      <c r="AA28" s="1000">
        <v>1</v>
      </c>
      <c r="AB28" s="1000">
        <v>1</v>
      </c>
      <c r="AC28" s="1000">
        <v>1</v>
      </c>
    </row>
    <row r="29" spans="1:29" s="49" customFormat="1" ht="15">
      <c r="A29" s="3543"/>
      <c r="B29" s="3180" t="s">
        <v>1696</v>
      </c>
      <c r="C29" s="3202">
        <f>估价对象房地状况!C21</f>
        <v>0</v>
      </c>
      <c r="D29" s="3276">
        <v>100</v>
      </c>
      <c r="E29" s="3227"/>
      <c r="F29" s="4283">
        <f>SUMIF(101:101,E30,102:102)-SUMIF(101:101,C30,102:102)+100</f>
        <v>100</v>
      </c>
      <c r="G29" s="3227"/>
      <c r="H29" s="4283">
        <f>SUMIF(101:101,G30,102:102)-SUMIF(101:101,C30,102:102)+100</f>
        <v>100</v>
      </c>
      <c r="I29" s="3233"/>
      <c r="J29" s="4283">
        <f>SUMIF(101:101,I30,102:102)-SUMIF(101:101,C30,102:102)+100</f>
        <v>100</v>
      </c>
      <c r="K29" s="3593"/>
      <c r="L29" s="2198"/>
      <c r="M29" s="2199"/>
      <c r="N29" s="2199"/>
      <c r="O29" s="2253"/>
      <c r="P29" s="4808"/>
      <c r="Q29" s="3457" t="str">
        <f t="shared" si="8"/>
        <v>公共配套设施</v>
      </c>
      <c r="R29" s="4327" t="s">
        <v>13</v>
      </c>
      <c r="S29" s="4330">
        <f>F29</f>
        <v>100</v>
      </c>
      <c r="T29" s="4327" t="s">
        <v>13</v>
      </c>
      <c r="U29" s="4330">
        <f>H29</f>
        <v>100</v>
      </c>
      <c r="V29" s="4327" t="s">
        <v>13</v>
      </c>
      <c r="W29" s="4330">
        <f>J29</f>
        <v>100</v>
      </c>
      <c r="X29" s="515"/>
      <c r="Y29" s="4757"/>
      <c r="Z29" s="28" t="str">
        <f>Q29</f>
        <v>公共配套设施</v>
      </c>
      <c r="AA29" s="1000">
        <f>D29/F29</f>
        <v>1</v>
      </c>
      <c r="AB29" s="1000">
        <f>D29/H29</f>
        <v>1</v>
      </c>
      <c r="AC29" s="1000">
        <f>D29/J29</f>
        <v>1</v>
      </c>
    </row>
    <row r="30" spans="1:29" s="49" customFormat="1" ht="15">
      <c r="A30" s="3543"/>
      <c r="B30" s="3179"/>
      <c r="C30" s="3544" t="s">
        <v>3658</v>
      </c>
      <c r="D30" s="3275"/>
      <c r="E30" s="3544" t="s">
        <v>3658</v>
      </c>
      <c r="F30" s="4282"/>
      <c r="G30" s="3253" t="s">
        <v>3658</v>
      </c>
      <c r="H30" s="4282"/>
      <c r="I30" s="3201" t="s">
        <v>3658</v>
      </c>
      <c r="J30" s="4282"/>
      <c r="K30" s="3594"/>
      <c r="L30" s="2198"/>
      <c r="M30" s="2199"/>
      <c r="N30" s="2199"/>
      <c r="O30" s="2253"/>
      <c r="P30" s="4808"/>
      <c r="Q30" s="3457"/>
      <c r="R30" s="4327"/>
      <c r="S30" s="4330"/>
      <c r="T30" s="4327"/>
      <c r="U30" s="4330"/>
      <c r="V30" s="4327"/>
      <c r="W30" s="4330"/>
      <c r="X30" s="515"/>
      <c r="Y30" s="4757"/>
      <c r="Z30" s="28"/>
      <c r="AA30" s="1000">
        <v>1</v>
      </c>
      <c r="AB30" s="1000">
        <v>1</v>
      </c>
      <c r="AC30" s="1000">
        <v>1</v>
      </c>
    </row>
    <row r="31" spans="1:29" s="49" customFormat="1" ht="15">
      <c r="A31" s="3543"/>
      <c r="B31" s="3180" t="s">
        <v>1697</v>
      </c>
      <c r="C31" s="3202">
        <f>估价对象房地状况!C22</f>
        <v>0</v>
      </c>
      <c r="D31" s="3276">
        <v>100</v>
      </c>
      <c r="E31" s="3227"/>
      <c r="F31" s="4283">
        <f>SUMIF(103:103,E32,104:104)-SUMIF(103:103,C32,104:104)+100</f>
        <v>100</v>
      </c>
      <c r="G31" s="3227"/>
      <c r="H31" s="4283">
        <f>SUMIF(103:103,G32,104:104)-SUMIF(103:103,C32,104:104)+100</f>
        <v>100</v>
      </c>
      <c r="I31" s="3233"/>
      <c r="J31" s="4283">
        <f>SUMIF(103:103,I32,104:104)-SUMIF(103:103,C32,104:104)+100</f>
        <v>100</v>
      </c>
      <c r="K31" s="3593"/>
      <c r="L31" s="2198"/>
      <c r="M31" s="2199"/>
      <c r="N31" s="2199"/>
      <c r="O31" s="2253"/>
      <c r="P31" s="4808"/>
      <c r="Q31" s="3457" t="str">
        <f t="shared" ref="Q31" si="9">B31</f>
        <v>基础设施水平</v>
      </c>
      <c r="R31" s="4327" t="s">
        <v>13</v>
      </c>
      <c r="S31" s="4330">
        <f>F31</f>
        <v>100</v>
      </c>
      <c r="T31" s="4327" t="s">
        <v>13</v>
      </c>
      <c r="U31" s="4330">
        <f>H31</f>
        <v>100</v>
      </c>
      <c r="V31" s="4327" t="s">
        <v>13</v>
      </c>
      <c r="W31" s="4330">
        <f>J31</f>
        <v>100</v>
      </c>
      <c r="X31" s="515"/>
      <c r="Y31" s="4757"/>
      <c r="Z31" s="28" t="str">
        <f>Q31</f>
        <v>基础设施水平</v>
      </c>
      <c r="AA31" s="1000">
        <f>D31/F31</f>
        <v>1</v>
      </c>
      <c r="AB31" s="1000">
        <f>D31/H31</f>
        <v>1</v>
      </c>
      <c r="AC31" s="1000">
        <f>D31/J31</f>
        <v>1</v>
      </c>
    </row>
    <row r="32" spans="1:29" s="49" customFormat="1" ht="15">
      <c r="A32" s="3543"/>
      <c r="B32" s="3179"/>
      <c r="C32" s="3544" t="s">
        <v>3660</v>
      </c>
      <c r="D32" s="3275"/>
      <c r="E32" s="3544" t="s">
        <v>3660</v>
      </c>
      <c r="F32" s="4282"/>
      <c r="G32" s="3544" t="s">
        <v>3660</v>
      </c>
      <c r="H32" s="4282"/>
      <c r="I32" s="3544" t="s">
        <v>3660</v>
      </c>
      <c r="J32" s="4282"/>
      <c r="K32" s="3594"/>
      <c r="L32" s="2198"/>
      <c r="M32" s="2199"/>
      <c r="N32" s="2199"/>
      <c r="O32" s="2253"/>
      <c r="P32" s="4808"/>
      <c r="Q32" s="3457"/>
      <c r="R32" s="4327"/>
      <c r="S32" s="4330"/>
      <c r="T32" s="4327"/>
      <c r="U32" s="4330"/>
      <c r="V32" s="4327"/>
      <c r="W32" s="4330"/>
      <c r="X32" s="515"/>
      <c r="Y32" s="4757"/>
      <c r="Z32" s="28"/>
      <c r="AA32" s="1000">
        <v>1</v>
      </c>
      <c r="AB32" s="1000">
        <v>1</v>
      </c>
      <c r="AC32" s="1000">
        <v>1</v>
      </c>
    </row>
    <row r="33" spans="1:29" ht="15">
      <c r="A33" s="3537"/>
      <c r="B33" s="3179" t="s">
        <v>1698</v>
      </c>
      <c r="C33" s="3218"/>
      <c r="D33" s="3272">
        <v>100</v>
      </c>
      <c r="E33" s="3561"/>
      <c r="F33" s="4285">
        <f>SUMIF(105:105,E33,106:106)-SUMIF(105:105,C33,106:106)+100</f>
        <v>100</v>
      </c>
      <c r="G33" s="3561"/>
      <c r="H33" s="4285">
        <f>SUMIF(105:105,G33,106:106)-SUMIF(105:105,C33,106:106)+100</f>
        <v>100</v>
      </c>
      <c r="I33" s="3561"/>
      <c r="J33" s="4285">
        <f>SUMIF(105:105,I33,106:106)-SUMIF(105:105,C33,106:106)+100</f>
        <v>100</v>
      </c>
      <c r="K33" s="3593"/>
      <c r="L33" s="2203"/>
      <c r="M33" s="2197"/>
      <c r="N33" s="2197"/>
      <c r="O33" s="2255"/>
      <c r="P33" s="4808"/>
      <c r="Q33" s="3460" t="str">
        <f t="shared" si="8"/>
        <v>临街状况</v>
      </c>
      <c r="R33" s="4328" t="s">
        <v>13</v>
      </c>
      <c r="S33" s="4331">
        <f t="shared" ref="S33:S47" si="10">F33</f>
        <v>100</v>
      </c>
      <c r="T33" s="4328" t="s">
        <v>13</v>
      </c>
      <c r="U33" s="4331">
        <f t="shared" ref="U33:U47" si="11">H33</f>
        <v>100</v>
      </c>
      <c r="V33" s="4328" t="s">
        <v>13</v>
      </c>
      <c r="W33" s="4331">
        <f t="shared" ref="W33:W47" si="12">J33</f>
        <v>100</v>
      </c>
      <c r="X33" s="1002"/>
      <c r="Y33" s="4757"/>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3">
        <f>SUMIF(107:107,E35,108:108)-SUMIF(107:107,C35,108:108)+100</f>
        <v>100</v>
      </c>
      <c r="G34" s="3227"/>
      <c r="H34" s="4283">
        <f>SUMIF(107:107,G35,108:108)-SUMIF(107:107,C35,108:108)+100</f>
        <v>100</v>
      </c>
      <c r="I34" s="3233"/>
      <c r="J34" s="4283">
        <f>SUMIF(107:107,I35,108:108)-SUMIF(107:107,C35,108:108)+100</f>
        <v>100</v>
      </c>
      <c r="K34" s="3593"/>
      <c r="L34" s="2203"/>
      <c r="M34" s="2197"/>
      <c r="N34" s="2197"/>
      <c r="O34" s="2255"/>
      <c r="P34" s="4808"/>
      <c r="Q34" s="3460" t="str">
        <f t="shared" si="8"/>
        <v>毗邻道路的类型与等级</v>
      </c>
      <c r="R34" s="4328" t="s">
        <v>13</v>
      </c>
      <c r="S34" s="4331">
        <f t="shared" si="10"/>
        <v>100</v>
      </c>
      <c r="T34" s="4328" t="s">
        <v>13</v>
      </c>
      <c r="U34" s="4331">
        <f t="shared" si="11"/>
        <v>100</v>
      </c>
      <c r="V34" s="4328" t="s">
        <v>13</v>
      </c>
      <c r="W34" s="4331">
        <f t="shared" si="12"/>
        <v>100</v>
      </c>
      <c r="X34" s="1002"/>
      <c r="Y34" s="4757"/>
      <c r="Z34" s="1003" t="str">
        <f t="shared" si="13"/>
        <v>毗邻道路的类型与等级</v>
      </c>
      <c r="AA34" s="1000">
        <f t="shared" si="3"/>
        <v>1</v>
      </c>
      <c r="AB34" s="1000">
        <f t="shared" si="4"/>
        <v>1</v>
      </c>
      <c r="AC34" s="1000">
        <f t="shared" si="5"/>
        <v>1</v>
      </c>
    </row>
    <row r="35" spans="1:29" ht="15">
      <c r="A35" s="3537"/>
      <c r="B35" s="3179"/>
      <c r="C35" s="3201"/>
      <c r="D35" s="3275"/>
      <c r="E35" s="3253"/>
      <c r="F35" s="4282"/>
      <c r="G35" s="3253"/>
      <c r="H35" s="4282"/>
      <c r="I35" s="3201"/>
      <c r="J35" s="4282"/>
      <c r="K35" s="3240"/>
      <c r="L35" s="2203"/>
      <c r="M35" s="2197"/>
      <c r="N35" s="2197"/>
      <c r="O35" s="2255"/>
      <c r="P35" s="4808"/>
      <c r="Q35" s="3460"/>
      <c r="R35" s="4328"/>
      <c r="S35" s="4331"/>
      <c r="T35" s="4328"/>
      <c r="U35" s="4331"/>
      <c r="V35" s="4328"/>
      <c r="W35" s="4331"/>
      <c r="X35" s="1002"/>
      <c r="Y35" s="4757"/>
      <c r="Z35" s="1003"/>
      <c r="AA35" s="1000">
        <v>1</v>
      </c>
      <c r="AB35" s="1000">
        <v>1</v>
      </c>
      <c r="AC35" s="1000">
        <v>1</v>
      </c>
    </row>
    <row r="36" spans="1:29" ht="15">
      <c r="A36" s="3537"/>
      <c r="B36" s="3459" t="s">
        <v>1790</v>
      </c>
      <c r="C36" s="3218"/>
      <c r="D36" s="3272">
        <v>100</v>
      </c>
      <c r="E36" s="3561"/>
      <c r="F36" s="4285">
        <f>SUMIF(109:109,E36,110:110)-SUMIF(109:109,C36,110:110)+100</f>
        <v>100</v>
      </c>
      <c r="G36" s="3561"/>
      <c r="H36" s="4285">
        <f>SUMIF(109:109,G36,110:110)-SUMIF(109:109,C36,110:110)+100</f>
        <v>100</v>
      </c>
      <c r="I36" s="3218"/>
      <c r="J36" s="4285">
        <f>SUMIF(109:109,I36,110:110)-SUMIF(109:109,C36,110:110)+100</f>
        <v>100</v>
      </c>
      <c r="K36" s="3239"/>
      <c r="L36" s="2203"/>
      <c r="M36" s="2197"/>
      <c r="N36" s="2197"/>
      <c r="O36" s="2255"/>
      <c r="P36" s="4808"/>
      <c r="Q36" s="3460" t="str">
        <f t="shared" si="8"/>
        <v>土地级别</v>
      </c>
      <c r="R36" s="4328" t="s">
        <v>13</v>
      </c>
      <c r="S36" s="4331">
        <f t="shared" si="10"/>
        <v>100</v>
      </c>
      <c r="T36" s="4328" t="s">
        <v>13</v>
      </c>
      <c r="U36" s="4331">
        <f t="shared" si="11"/>
        <v>100</v>
      </c>
      <c r="V36" s="4328" t="s">
        <v>13</v>
      </c>
      <c r="W36" s="4331">
        <f t="shared" si="12"/>
        <v>100</v>
      </c>
      <c r="X36" s="1002"/>
      <c r="Y36" s="4757"/>
      <c r="Z36" s="1003" t="str">
        <f t="shared" si="13"/>
        <v>土地级别</v>
      </c>
      <c r="AA36" s="1000">
        <f t="shared" si="3"/>
        <v>1</v>
      </c>
      <c r="AB36" s="1000">
        <f t="shared" si="4"/>
        <v>1</v>
      </c>
      <c r="AC36" s="1000">
        <f t="shared" si="5"/>
        <v>1</v>
      </c>
    </row>
    <row r="37" spans="1:29" ht="15">
      <c r="A37" s="3541"/>
      <c r="B37" s="3181">
        <v>111</v>
      </c>
      <c r="C37" s="3545"/>
      <c r="D37" s="3272">
        <v>100</v>
      </c>
      <c r="E37" s="3562"/>
      <c r="F37" s="4285">
        <f>SUMIF(111:111,E37,112:112)-SUMIF(111:111,C37,112:112)+100</f>
        <v>100</v>
      </c>
      <c r="G37" s="3562"/>
      <c r="H37" s="4285">
        <f>SUMIF(111:111,G37,112:112)-SUMIF(111:111,C37,112:112)+100</f>
        <v>100</v>
      </c>
      <c r="I37" s="3545"/>
      <c r="J37" s="4285">
        <f>SUMIF(111:111,I37,112:112)-SUMIF(111:111,C37,112:112)+100</f>
        <v>100</v>
      </c>
      <c r="K37" s="3240"/>
      <c r="L37" s="2203"/>
      <c r="M37" s="2197"/>
      <c r="N37" s="2197"/>
      <c r="O37" s="2255"/>
      <c r="P37" s="4808"/>
      <c r="Q37" s="3460">
        <f t="shared" si="8"/>
        <v>111</v>
      </c>
      <c r="R37" s="4328" t="s">
        <v>13</v>
      </c>
      <c r="S37" s="4331">
        <f t="shared" si="10"/>
        <v>100</v>
      </c>
      <c r="T37" s="4328" t="s">
        <v>13</v>
      </c>
      <c r="U37" s="4331">
        <f t="shared" si="11"/>
        <v>100</v>
      </c>
      <c r="V37" s="4328" t="s">
        <v>13</v>
      </c>
      <c r="W37" s="4331">
        <f t="shared" si="12"/>
        <v>100</v>
      </c>
      <c r="X37" s="1002"/>
      <c r="Y37" s="4757"/>
      <c r="Z37" s="1003">
        <f t="shared" si="13"/>
        <v>111</v>
      </c>
      <c r="AA37" s="1000">
        <f t="shared" si="3"/>
        <v>1</v>
      </c>
      <c r="AB37" s="1000">
        <f t="shared" si="4"/>
        <v>1</v>
      </c>
      <c r="AC37" s="1000">
        <f t="shared" si="5"/>
        <v>1</v>
      </c>
    </row>
    <row r="38" spans="1:29" ht="15">
      <c r="A38" s="3546"/>
      <c r="B38" s="3547">
        <v>111</v>
      </c>
      <c r="C38" s="3545"/>
      <c r="D38" s="3272">
        <v>100</v>
      </c>
      <c r="E38" s="3562"/>
      <c r="F38" s="4285">
        <f>SUMIF(113:113,E39,114:114)-SUMIF(113:113,C39,114:114)+100</f>
        <v>100</v>
      </c>
      <c r="G38" s="3562"/>
      <c r="H38" s="4285">
        <f>SUMIF(113:113,G38,114:114)-SUMIF(113:113,C38,114:114)+100</f>
        <v>100</v>
      </c>
      <c r="I38" s="3545"/>
      <c r="J38" s="4285">
        <f>SUMIF(113:113,I38,114:114)-SUMIF(113:113,C38,114:114)+100</f>
        <v>100</v>
      </c>
      <c r="K38" s="3240"/>
      <c r="L38" s="2203"/>
      <c r="M38" s="2197"/>
      <c r="N38" s="2197"/>
      <c r="O38" s="2255"/>
      <c r="P38" s="4809" t="s">
        <v>1614</v>
      </c>
      <c r="Q38" s="3460">
        <f t="shared" si="8"/>
        <v>111</v>
      </c>
      <c r="R38" s="4328" t="s">
        <v>13</v>
      </c>
      <c r="S38" s="4331">
        <f t="shared" si="10"/>
        <v>100</v>
      </c>
      <c r="T38" s="4328" t="s">
        <v>13</v>
      </c>
      <c r="U38" s="4331">
        <f t="shared" si="11"/>
        <v>100</v>
      </c>
      <c r="V38" s="4328" t="s">
        <v>13</v>
      </c>
      <c r="W38" s="4331">
        <f t="shared" si="12"/>
        <v>100</v>
      </c>
      <c r="X38" s="1002"/>
      <c r="Y38" s="4761"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87">
        <f>SUMIF(115:115,E39,116:116)-SUMIF(115:115,C39,116:116)+100</f>
        <v>100</v>
      </c>
      <c r="G39" s="3563"/>
      <c r="H39" s="4287">
        <f>SUMIF(115:115,G39,116:116)-SUMIF(115:115,C39,116:116)+100</f>
        <v>100</v>
      </c>
      <c r="I39" s="3550"/>
      <c r="J39" s="4287">
        <f>SUMIF(115:115,I39,116:116)-SUMIF(115:115,C39,116:116)+100</f>
        <v>100</v>
      </c>
      <c r="K39" s="3240"/>
      <c r="L39" s="2202"/>
      <c r="M39" s="2204"/>
      <c r="N39" s="2204"/>
      <c r="O39" s="2256"/>
      <c r="P39" s="4810"/>
      <c r="Q39" s="3460">
        <f t="shared" si="8"/>
        <v>111</v>
      </c>
      <c r="R39" s="4329" t="s">
        <v>13</v>
      </c>
      <c r="S39" s="4332">
        <f t="shared" si="10"/>
        <v>100</v>
      </c>
      <c r="T39" s="4329" t="s">
        <v>13</v>
      </c>
      <c r="U39" s="4332">
        <f t="shared" si="11"/>
        <v>100</v>
      </c>
      <c r="V39" s="4329" t="s">
        <v>13</v>
      </c>
      <c r="W39" s="4332">
        <f t="shared" si="12"/>
        <v>100</v>
      </c>
      <c r="X39" s="518"/>
      <c r="Y39" s="4761"/>
      <c r="Z39" s="519">
        <f t="shared" si="13"/>
        <v>111</v>
      </c>
      <c r="AA39" s="1000">
        <f t="shared" si="3"/>
        <v>1</v>
      </c>
      <c r="AB39" s="1000">
        <f t="shared" si="4"/>
        <v>1</v>
      </c>
      <c r="AC39" s="1000">
        <f t="shared" si="5"/>
        <v>1</v>
      </c>
    </row>
    <row r="40" spans="1:29" ht="15">
      <c r="A40" s="3551" t="s">
        <v>1612</v>
      </c>
      <c r="B40" s="3179" t="s">
        <v>1791</v>
      </c>
      <c r="C40" s="3552">
        <v>7731.92</v>
      </c>
      <c r="D40" s="3279">
        <v>100</v>
      </c>
      <c r="E40" s="3552">
        <f>土地案例!E21</f>
        <v>79959.070000000007</v>
      </c>
      <c r="F40" s="4292">
        <f>LOOKUP(E40,118:118,119:119)-LOOKUP(C40,118:118,119:119)+100</f>
        <v>98</v>
      </c>
      <c r="G40" s="3552">
        <f>土地案例!E22</f>
        <v>32636.74</v>
      </c>
      <c r="H40" s="4292">
        <f>LOOKUP(G40,118:118,119:119)-LOOKUP(C40,118:118,119:119)+100</f>
        <v>102</v>
      </c>
      <c r="I40" s="3565">
        <f>土地案例!E23</f>
        <v>64012.4</v>
      </c>
      <c r="J40" s="4292">
        <f>LOOKUP(I40,118:118,119:119)-LOOKUP(C40,118:118,119:119)+100</f>
        <v>98</v>
      </c>
      <c r="K40" s="3240"/>
      <c r="L40" s="2203"/>
      <c r="M40" s="2197"/>
      <c r="N40" s="2197"/>
      <c r="O40" s="2255"/>
      <c r="P40" s="4810"/>
      <c r="Q40" s="3460" t="str">
        <f>B40</f>
        <v>宗地面积</v>
      </c>
      <c r="R40" s="4328" t="s">
        <v>13</v>
      </c>
      <c r="S40" s="4331">
        <f t="shared" si="10"/>
        <v>98</v>
      </c>
      <c r="T40" s="4328" t="s">
        <v>13</v>
      </c>
      <c r="U40" s="4331">
        <f t="shared" si="11"/>
        <v>102</v>
      </c>
      <c r="V40" s="4328" t="s">
        <v>13</v>
      </c>
      <c r="W40" s="4331">
        <f t="shared" si="12"/>
        <v>98</v>
      </c>
      <c r="X40" s="1002"/>
      <c r="Y40" s="4761"/>
      <c r="Z40" s="1003" t="str">
        <f t="shared" si="13"/>
        <v>宗地面积</v>
      </c>
      <c r="AA40" s="1000">
        <f t="shared" si="3"/>
        <v>1.0204081632653061</v>
      </c>
      <c r="AB40" s="1000">
        <f t="shared" si="4"/>
        <v>0.98039215686274506</v>
      </c>
      <c r="AC40" s="1000">
        <f t="shared" si="5"/>
        <v>1.0204081632653061</v>
      </c>
    </row>
    <row r="41" spans="1:29" ht="15">
      <c r="A41" s="3551"/>
      <c r="B41" s="3459" t="s">
        <v>1792</v>
      </c>
      <c r="C41" s="3208" t="s">
        <v>3666</v>
      </c>
      <c r="D41" s="3272">
        <v>100</v>
      </c>
      <c r="E41" s="3208" t="s">
        <v>3666</v>
      </c>
      <c r="F41" s="4285">
        <f>SUMIF(120:120,E41,121:121)-SUMIF(120:120,C41,121:121)+100</f>
        <v>100</v>
      </c>
      <c r="G41" s="3208" t="s">
        <v>3666</v>
      </c>
      <c r="H41" s="4285">
        <f>SUMIF(120:120,G41,121:121)-SUMIF(120:120,C41,121:121)+100</f>
        <v>100</v>
      </c>
      <c r="I41" s="3208" t="s">
        <v>3666</v>
      </c>
      <c r="J41" s="4285">
        <f>SUMIF(120:120,I41,121:121)-SUMIF(120:120,C41,121:121)+100</f>
        <v>100</v>
      </c>
      <c r="K41" s="3239"/>
      <c r="L41" s="2203"/>
      <c r="M41" s="2197"/>
      <c r="N41" s="2197"/>
      <c r="O41" s="2255"/>
      <c r="P41" s="4810"/>
      <c r="Q41" s="3460" t="str">
        <f t="shared" ref="Q41:Q47" si="14">B41</f>
        <v>宗地形状</v>
      </c>
      <c r="R41" s="4328" t="s">
        <v>13</v>
      </c>
      <c r="S41" s="4331">
        <f t="shared" si="10"/>
        <v>100</v>
      </c>
      <c r="T41" s="4328" t="s">
        <v>13</v>
      </c>
      <c r="U41" s="4331">
        <f t="shared" si="11"/>
        <v>100</v>
      </c>
      <c r="V41" s="4328" t="s">
        <v>13</v>
      </c>
      <c r="W41" s="4331">
        <f t="shared" si="12"/>
        <v>100</v>
      </c>
      <c r="X41" s="1002"/>
      <c r="Y41" s="4761"/>
      <c r="Z41" s="1003" t="str">
        <f t="shared" si="13"/>
        <v>宗地形状</v>
      </c>
      <c r="AA41" s="1000">
        <f t="shared" si="3"/>
        <v>1</v>
      </c>
      <c r="AB41" s="1000">
        <f t="shared" si="4"/>
        <v>1</v>
      </c>
      <c r="AC41" s="1000">
        <f t="shared" si="5"/>
        <v>1</v>
      </c>
    </row>
    <row r="42" spans="1:29" ht="15">
      <c r="A42" s="3551"/>
      <c r="B42" s="3459" t="s">
        <v>1793</v>
      </c>
      <c r="C42" s="3208"/>
      <c r="D42" s="3272">
        <v>100</v>
      </c>
      <c r="E42" s="3208"/>
      <c r="F42" s="4285">
        <f>SUMIF(122:122,E42,123:123)-SUMIF(122:122,C42,123:123)+100</f>
        <v>100</v>
      </c>
      <c r="G42" s="3208"/>
      <c r="H42" s="4285">
        <f>SUMIF(122:122,G42,123:123)-SUMIF(122:122,C42,123:123)+100</f>
        <v>100</v>
      </c>
      <c r="I42" s="3208"/>
      <c r="J42" s="4285">
        <f>SUMIF(122:122,I42,123:123)-SUMIF(122:122,C42,123:123)+100</f>
        <v>100</v>
      </c>
      <c r="K42" s="3239"/>
      <c r="L42" s="2203"/>
      <c r="M42" s="2197"/>
      <c r="N42" s="2197"/>
      <c r="O42" s="2255"/>
      <c r="P42" s="4810"/>
      <c r="Q42" s="3460" t="str">
        <f t="shared" si="14"/>
        <v>临街宽度及深度</v>
      </c>
      <c r="R42" s="4328" t="s">
        <v>13</v>
      </c>
      <c r="S42" s="4331">
        <f t="shared" si="10"/>
        <v>100</v>
      </c>
      <c r="T42" s="4328" t="s">
        <v>13</v>
      </c>
      <c r="U42" s="4331">
        <f t="shared" si="11"/>
        <v>100</v>
      </c>
      <c r="V42" s="4328" t="s">
        <v>13</v>
      </c>
      <c r="W42" s="4331">
        <f t="shared" si="12"/>
        <v>100</v>
      </c>
      <c r="X42" s="1002"/>
      <c r="Y42" s="4761"/>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5">
        <f>SUMIF(124:124,E43,125:125)-SUMIF(124:124,C43,125:125)+100</f>
        <v>100</v>
      </c>
      <c r="G43" s="3554" t="s">
        <v>3662</v>
      </c>
      <c r="H43" s="4285">
        <f>SUMIF(124:124,G43,125:125)-SUMIF(124:124,C43,125:125)+100</f>
        <v>96</v>
      </c>
      <c r="I43" s="3554" t="s">
        <v>3664</v>
      </c>
      <c r="J43" s="4285">
        <f>SUMIF(124:124,I43,125:125)-SUMIF(124:124,C43,125:125)+100</f>
        <v>92</v>
      </c>
      <c r="K43" s="3239">
        <v>2</v>
      </c>
      <c r="L43" s="2198"/>
      <c r="M43" s="2199"/>
      <c r="N43" s="2199"/>
      <c r="O43" s="2253"/>
      <c r="P43" s="4810"/>
      <c r="Q43" s="3460" t="str">
        <f t="shared" si="14"/>
        <v>宗地开发程度</v>
      </c>
      <c r="R43" s="4327" t="s">
        <v>13</v>
      </c>
      <c r="S43" s="4330">
        <f t="shared" si="10"/>
        <v>100</v>
      </c>
      <c r="T43" s="4327" t="s">
        <v>13</v>
      </c>
      <c r="U43" s="4330">
        <f t="shared" si="11"/>
        <v>96</v>
      </c>
      <c r="V43" s="4327" t="s">
        <v>13</v>
      </c>
      <c r="W43" s="4330">
        <f t="shared" si="12"/>
        <v>92</v>
      </c>
      <c r="X43" s="515"/>
      <c r="Y43" s="4761"/>
      <c r="Z43" s="28" t="str">
        <f t="shared" si="13"/>
        <v>宗地开发程度</v>
      </c>
      <c r="AA43" s="516">
        <f t="shared" si="3"/>
        <v>1</v>
      </c>
      <c r="AB43" s="516">
        <f t="shared" si="4"/>
        <v>1.0416666666666667</v>
      </c>
      <c r="AC43" s="516">
        <f t="shared" si="5"/>
        <v>1.0869565217391304</v>
      </c>
    </row>
    <row r="44" spans="1:29" ht="15">
      <c r="A44" s="3551"/>
      <c r="B44" s="3459" t="s">
        <v>1795</v>
      </c>
      <c r="C44" s="3208" t="s">
        <v>3659</v>
      </c>
      <c r="D44" s="3272">
        <v>100</v>
      </c>
      <c r="E44" s="3208" t="s">
        <v>3659</v>
      </c>
      <c r="F44" s="4285">
        <f>SUMIF(126:126,E44,127:127)-SUMIF(126:126,C44,127:127)+100</f>
        <v>100</v>
      </c>
      <c r="G44" s="3208" t="s">
        <v>3659</v>
      </c>
      <c r="H44" s="4285">
        <f>SUMIF(126:126,G44,127:127)-SUMIF(126:126,C44,127:127)+100</f>
        <v>100</v>
      </c>
      <c r="I44" s="3208" t="s">
        <v>3659</v>
      </c>
      <c r="J44" s="4285">
        <f>SUMIF(126:126,I44,127:127)-SUMIF(126:126,C44,127:127)+100</f>
        <v>100</v>
      </c>
      <c r="K44" s="3239"/>
      <c r="L44" s="2203"/>
      <c r="M44" s="2197"/>
      <c r="N44" s="2197"/>
      <c r="O44" s="2255"/>
      <c r="P44" s="4810" t="s">
        <v>1614</v>
      </c>
      <c r="Q44" s="3460" t="str">
        <f t="shared" si="14"/>
        <v>工程地质条件</v>
      </c>
      <c r="R44" s="4328" t="s">
        <v>13</v>
      </c>
      <c r="S44" s="4331">
        <f t="shared" si="10"/>
        <v>100</v>
      </c>
      <c r="T44" s="4328" t="s">
        <v>13</v>
      </c>
      <c r="U44" s="4331">
        <f t="shared" si="11"/>
        <v>100</v>
      </c>
      <c r="V44" s="4328" t="s">
        <v>13</v>
      </c>
      <c r="W44" s="4331">
        <f t="shared" si="12"/>
        <v>100</v>
      </c>
      <c r="X44" s="1002"/>
      <c r="Y44" s="4761"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5">
        <f>SUMIF(128:128,E45,129:129)-SUMIF(128:128,C45,129:129)+100</f>
        <v>100</v>
      </c>
      <c r="G45" s="3545"/>
      <c r="H45" s="4285">
        <f>SUMIF(128:128,G45,129:129)-SUMIF(128:128,C45,129:129)+100</f>
        <v>100</v>
      </c>
      <c r="I45" s="3559"/>
      <c r="J45" s="4285">
        <f>SUMIF(128:128,I45,129:129)-SUMIF(128:128,C45,129:129)+100</f>
        <v>100</v>
      </c>
      <c r="K45" s="3240"/>
      <c r="L45" s="2203"/>
      <c r="M45" s="2197"/>
      <c r="N45" s="2197"/>
      <c r="O45" s="2255"/>
      <c r="P45" s="4810"/>
      <c r="Q45" s="3460">
        <f t="shared" si="14"/>
        <v>111</v>
      </c>
      <c r="R45" s="4328" t="s">
        <v>13</v>
      </c>
      <c r="S45" s="4331">
        <f t="shared" si="10"/>
        <v>100</v>
      </c>
      <c r="T45" s="4328" t="s">
        <v>13</v>
      </c>
      <c r="U45" s="4331">
        <f t="shared" si="11"/>
        <v>100</v>
      </c>
      <c r="V45" s="4328" t="s">
        <v>13</v>
      </c>
      <c r="W45" s="4331">
        <f t="shared" si="12"/>
        <v>100</v>
      </c>
      <c r="X45" s="1002"/>
      <c r="Y45" s="4761"/>
      <c r="Z45" s="1003">
        <f t="shared" si="13"/>
        <v>111</v>
      </c>
      <c r="AA45" s="1000">
        <f t="shared" si="3"/>
        <v>1</v>
      </c>
      <c r="AB45" s="1000">
        <f t="shared" si="4"/>
        <v>1</v>
      </c>
      <c r="AC45" s="1000">
        <f t="shared" si="5"/>
        <v>1</v>
      </c>
    </row>
    <row r="46" spans="1:29" ht="15">
      <c r="A46" s="3551"/>
      <c r="B46" s="3547">
        <v>111</v>
      </c>
      <c r="C46" s="3545"/>
      <c r="D46" s="3272">
        <v>100</v>
      </c>
      <c r="E46" s="3545"/>
      <c r="F46" s="4285">
        <f>SUMIF(130:130,E46,131:131)-SUMIF(130:130,C46,131:131)+100</f>
        <v>100</v>
      </c>
      <c r="G46" s="3545"/>
      <c r="H46" s="4285">
        <f>SUMIF(130:130,G46,131:131)-SUMIF(130:130,C46,131:131)+100</f>
        <v>100</v>
      </c>
      <c r="I46" s="3559"/>
      <c r="J46" s="4285">
        <f>SUMIF(130:130,I46,131:131)-SUMIF(130:130,C46,131:131)+100</f>
        <v>100</v>
      </c>
      <c r="K46" s="3240"/>
      <c r="L46" s="2203"/>
      <c r="M46" s="2197"/>
      <c r="N46" s="2197"/>
      <c r="O46" s="2255"/>
      <c r="P46" s="4810"/>
      <c r="Q46" s="3460">
        <f t="shared" si="14"/>
        <v>111</v>
      </c>
      <c r="R46" s="4328" t="s">
        <v>13</v>
      </c>
      <c r="S46" s="4331">
        <f t="shared" si="10"/>
        <v>100</v>
      </c>
      <c r="T46" s="4328" t="s">
        <v>13</v>
      </c>
      <c r="U46" s="4331">
        <f t="shared" si="11"/>
        <v>100</v>
      </c>
      <c r="V46" s="4328" t="s">
        <v>13</v>
      </c>
      <c r="W46" s="4331">
        <f t="shared" si="12"/>
        <v>100</v>
      </c>
      <c r="X46" s="1002"/>
      <c r="Y46" s="4761"/>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87">
        <f>SUMIF(132:132,E47,133:133)-SUMIF(132:132,C47,133:133)+100</f>
        <v>100</v>
      </c>
      <c r="G47" s="3545"/>
      <c r="H47" s="4287">
        <f>SUMIF(132:132,G47,133:133)-SUMIF(132:132,C47,133:133)+100</f>
        <v>100</v>
      </c>
      <c r="I47" s="3545"/>
      <c r="J47" s="4287">
        <f>SUMIF(132:132,I47,133:133)-SUMIF(132:132,C47,133:133)+100</f>
        <v>100</v>
      </c>
      <c r="K47" s="3596"/>
      <c r="L47" s="2202"/>
      <c r="M47" s="2204"/>
      <c r="N47" s="2204"/>
      <c r="O47" s="2256"/>
      <c r="P47" s="4810"/>
      <c r="Q47" s="3460">
        <f t="shared" si="14"/>
        <v>111</v>
      </c>
      <c r="R47" s="4329" t="s">
        <v>13</v>
      </c>
      <c r="S47" s="4332">
        <f t="shared" si="10"/>
        <v>100</v>
      </c>
      <c r="T47" s="4329" t="s">
        <v>13</v>
      </c>
      <c r="U47" s="4332">
        <f t="shared" si="11"/>
        <v>100</v>
      </c>
      <c r="V47" s="4329" t="s">
        <v>13</v>
      </c>
      <c r="W47" s="4332">
        <f t="shared" si="12"/>
        <v>100</v>
      </c>
      <c r="X47" s="518"/>
      <c r="Y47" s="4761"/>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9337</v>
      </c>
      <c r="F48" s="3597"/>
      <c r="G48" s="3667">
        <f>土地案例!X22</f>
        <v>10246</v>
      </c>
      <c r="H48" s="3598"/>
      <c r="I48" s="3666">
        <f>土地案例!X23</f>
        <v>7769</v>
      </c>
      <c r="J48" s="3598"/>
      <c r="K48" s="3244"/>
      <c r="L48" s="2205"/>
      <c r="M48" s="2206"/>
      <c r="N48" s="2197"/>
      <c r="O48" s="2206"/>
      <c r="P48" s="4754" t="str">
        <f>A48</f>
        <v>成交单价</v>
      </c>
      <c r="Q48" s="4754"/>
      <c r="R48" s="4755">
        <f>E48</f>
        <v>9337</v>
      </c>
      <c r="S48" s="4755"/>
      <c r="T48" s="4755">
        <f>G48</f>
        <v>10246</v>
      </c>
      <c r="U48" s="4755"/>
      <c r="V48" s="4755">
        <f>I48</f>
        <v>7769</v>
      </c>
      <c r="W48" s="4755"/>
      <c r="X48" s="504"/>
      <c r="Y48" s="520"/>
      <c r="Z48" s="504"/>
      <c r="AA48" s="504"/>
      <c r="AB48" s="504"/>
      <c r="AC48" s="504"/>
    </row>
    <row r="49" spans="1:29" ht="15.75" thickBot="1">
      <c r="A49" s="296" t="s">
        <v>1711</v>
      </c>
      <c r="B49" s="467"/>
      <c r="C49" s="4304">
        <f>R50</f>
        <v>8014</v>
      </c>
      <c r="D49" s="4462" t="s">
        <v>2053</v>
      </c>
      <c r="E49" s="4304">
        <f>R49</f>
        <v>7700</v>
      </c>
      <c r="F49" s="3182"/>
      <c r="G49" s="4293">
        <f>T49</f>
        <v>8839</v>
      </c>
      <c r="H49" s="3182"/>
      <c r="I49" s="4304">
        <f>V49</f>
        <v>7502</v>
      </c>
      <c r="J49" s="3182"/>
      <c r="K49" s="3237">
        <f>F49+H49+J49</f>
        <v>0</v>
      </c>
      <c r="L49" s="2205"/>
      <c r="M49" s="2206"/>
      <c r="N49" s="2206"/>
      <c r="O49" s="2206"/>
      <c r="P49" s="4754" t="str">
        <f>A49</f>
        <v>比较价值（元/平方米）</v>
      </c>
      <c r="Q49" s="4754"/>
      <c r="R49" s="4755">
        <f>ROUND(PRODUCT(R48,AA9:AA47),0)</f>
        <v>7700</v>
      </c>
      <c r="S49" s="4755"/>
      <c r="T49" s="4755">
        <f>ROUND(PRODUCT(T48,AB9:AB47),0)</f>
        <v>8839</v>
      </c>
      <c r="U49" s="4755"/>
      <c r="V49" s="4755">
        <f>ROUND(PRODUCT(V48,AC9:AC47),0)</f>
        <v>7502</v>
      </c>
      <c r="W49" s="4755"/>
      <c r="X49" s="504"/>
      <c r="Y49" s="504"/>
      <c r="Z49" s="504"/>
      <c r="AA49" s="504"/>
      <c r="AB49" s="504"/>
      <c r="AC49" s="504"/>
    </row>
    <row r="50" spans="1:29" ht="15.75" thickBot="1">
      <c r="A50" s="298" t="s">
        <v>1797</v>
      </c>
      <c r="B50" s="299"/>
      <c r="C50" s="4305">
        <f>R50</f>
        <v>8014</v>
      </c>
      <c r="D50" s="300"/>
      <c r="E50" s="300"/>
      <c r="F50" s="300"/>
      <c r="G50" s="300"/>
      <c r="H50" s="300"/>
      <c r="I50" s="300"/>
      <c r="J50" s="300"/>
      <c r="K50" s="3570"/>
      <c r="L50" s="2205"/>
      <c r="M50" s="2206"/>
      <c r="N50" s="2206"/>
      <c r="O50" s="2206"/>
      <c r="P50" s="4751" t="str">
        <f>A50</f>
        <v>估价对象XX用房的比较价值（楼面单价，元/平方米）</v>
      </c>
      <c r="Q50" s="4752"/>
      <c r="R50" s="4753">
        <f>ROUND(IF(D49="简单平均",AVERAGE(R49:W49),R49*F49+T49*H49+V49*J49),0)</f>
        <v>8014</v>
      </c>
      <c r="S50" s="4753"/>
      <c r="T50" s="4753"/>
      <c r="U50" s="4753"/>
      <c r="V50" s="4753"/>
      <c r="W50" s="4753"/>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0.21259740259740267</v>
      </c>
      <c r="F53" s="306" t="str">
        <f>IF(OR(E53&gt;=0.3,E53&lt;=-0.3),"超过30%","")</f>
        <v/>
      </c>
      <c r="G53" s="305">
        <f>IF(G48&lt;G49,G49/G48-1,G48/G49-1)</f>
        <v>0.15918090281706077</v>
      </c>
      <c r="H53" s="306" t="str">
        <f>IF(OR(G53&gt;=0.3,G53&lt;=-0.3),"超过30%","")</f>
        <v/>
      </c>
      <c r="I53" s="305">
        <f>IF(I48&lt;I49,I49/I48-1,I48/I49-1)</f>
        <v>3.5590509197547249E-2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0.14792207792207801</v>
      </c>
      <c r="F54" s="306" t="str">
        <f>IF(OR(E54&gt;=0.2,E54&lt;=-0.2),"超过20%","")</f>
        <v/>
      </c>
      <c r="G54" s="305">
        <f>IF(G49&lt;I49,I49/G49-1,G49/I49-1)</f>
        <v>0.17821914156225005</v>
      </c>
      <c r="H54" s="306" t="str">
        <f>IF(OR(G54&gt;=0.2,G54&lt;=-0.2),"超过20%","")</f>
        <v/>
      </c>
      <c r="I54" s="305">
        <f>IF(I49&lt;E49,E49/I49-1,I49/E49-1)</f>
        <v>2.6392961876832821E-2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9.7354610688658028E-2</v>
      </c>
      <c r="F55" s="306" t="str">
        <f>IF(OR(E55&gt;=0.3,E55&lt;=-0.3),"超过30%","")</f>
        <v/>
      </c>
      <c r="G55" s="305">
        <f>IF(G48&lt;I48,I48/G48-1,G48/I48-1)</f>
        <v>0.31883125241343802</v>
      </c>
      <c r="H55" s="306" t="str">
        <f>IF(OR(G55&gt;=0.3,G55&lt;=-0.3),"超过30%","")</f>
        <v>超过30%</v>
      </c>
      <c r="I55" s="305">
        <f>IF(I48&lt;E48,E48/I48-1,I48/E48-1)</f>
        <v>0.20182777706268507</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12" t="s">
        <v>1804</v>
      </c>
      <c r="H57" s="4837"/>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5">
        <f>C50</f>
        <v>8014</v>
      </c>
      <c r="C58" s="3213">
        <v>1</v>
      </c>
      <c r="D58" s="3509">
        <v>1</v>
      </c>
      <c r="E58" s="3508">
        <f>'数据-汇总表'!E8+'数据-汇总表'!E9</f>
        <v>32206.959999999999</v>
      </c>
      <c r="F58" s="3530">
        <f t="shared" ref="F58:F66" si="15">ROUND(B58*E58/10000,0)</f>
        <v>25811</v>
      </c>
      <c r="G58" s="4838"/>
      <c r="H58" s="4824"/>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5">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5">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5">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5">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5">
        <f t="shared" si="17"/>
        <v>501</v>
      </c>
      <c r="C63" s="3507">
        <f t="shared" si="16"/>
        <v>0.25</v>
      </c>
      <c r="D63" s="3510">
        <v>0.25</v>
      </c>
      <c r="E63" s="3513">
        <f>'数据-汇总表'!E12</f>
        <v>0</v>
      </c>
      <c r="F63" s="3530">
        <f t="shared" si="15"/>
        <v>0</v>
      </c>
      <c r="G63" s="3523" t="s">
        <v>3</v>
      </c>
      <c r="H63" s="637" t="str">
        <f>IF(G63="商业",项目基本情况!B37,IF(G63="办公",项目基本情况!C37,IF(G63="住宅",项目基本情况!D37,项目基本情况!E37)))</f>
        <v>七级</v>
      </c>
      <c r="I63" s="3525">
        <f>SUMIF(修正!A59:A70,H63,修正!F59:F70)</f>
        <v>0.25</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5">
        <f t="shared" si="17"/>
        <v>301</v>
      </c>
      <c r="C64" s="3507">
        <f t="shared" si="16"/>
        <v>0.15</v>
      </c>
      <c r="D64" s="3510">
        <v>0.25</v>
      </c>
      <c r="E64" s="3513">
        <f>'数据-汇总表'!E13</f>
        <v>7219.03</v>
      </c>
      <c r="F64" s="3530">
        <f t="shared" si="15"/>
        <v>217</v>
      </c>
      <c r="G64" s="3523" t="s">
        <v>3</v>
      </c>
      <c r="H64" s="637" t="str">
        <f>IF(G64="商业",项目基本情况!B37,IF(G64="办公",项目基本情况!C37,IF(G64="住宅",项目基本情况!D37,项目基本情况!E37)))</f>
        <v>七级</v>
      </c>
      <c r="I64" s="3525">
        <f>SUMIF(修正!A59:A70,H64,修正!G59:G70)</f>
        <v>0.15</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5">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5">
        <f t="shared" si="17"/>
        <v>0</v>
      </c>
      <c r="C66" s="3507">
        <f t="shared" si="16"/>
        <v>0</v>
      </c>
      <c r="D66" s="3510">
        <v>0.25</v>
      </c>
      <c r="E66" s="3513">
        <f>'数据-汇总表'!E15</f>
        <v>0</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26028</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0" t="s">
        <v>3996</v>
      </c>
      <c r="D76" s="4470" t="s">
        <v>4037</v>
      </c>
      <c r="E76" s="4470" t="s">
        <v>3997</v>
      </c>
      <c r="F76" s="333" t="s">
        <v>3998</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3999</v>
      </c>
      <c r="D83" s="357" t="s">
        <v>4000</v>
      </c>
      <c r="E83" s="357" t="s">
        <v>4001</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98</v>
      </c>
      <c r="E90" s="347">
        <f>D90-$K17</f>
        <v>96</v>
      </c>
      <c r="F90" s="347">
        <f>E90-$K17</f>
        <v>94</v>
      </c>
      <c r="G90" s="347">
        <f>F90-$K17</f>
        <v>92</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98</v>
      </c>
      <c r="E92" s="347">
        <f>D92-$K19</f>
        <v>96</v>
      </c>
      <c r="F92" s="347">
        <f>E92-$K19</f>
        <v>94</v>
      </c>
      <c r="G92" s="347">
        <f>F92-$K19</f>
        <v>92</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100</v>
      </c>
      <c r="E96" s="347">
        <f>D96-$K23</f>
        <v>100</v>
      </c>
      <c r="F96" s="347">
        <f>E96-$K23</f>
        <v>100</v>
      </c>
      <c r="G96" s="347">
        <f>F96-$K23</f>
        <v>100</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4002</v>
      </c>
      <c r="D126" s="357" t="s">
        <v>3659</v>
      </c>
      <c r="E126" s="383" t="s">
        <v>3658</v>
      </c>
      <c r="F126" s="383" t="s">
        <v>4003</v>
      </c>
      <c r="G126" s="383" t="s">
        <v>4004</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70" t="s">
        <v>1688</v>
      </c>
      <c r="D6" s="4771"/>
      <c r="E6" s="4772" t="s">
        <v>1689</v>
      </c>
      <c r="F6" s="4773"/>
      <c r="G6" s="4770" t="s">
        <v>1690</v>
      </c>
      <c r="H6" s="4771"/>
      <c r="I6" s="4770" t="s">
        <v>1691</v>
      </c>
      <c r="J6" s="4771"/>
      <c r="K6" s="410"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29" ht="15">
      <c r="A7" s="3541"/>
      <c r="B7" s="3606"/>
      <c r="C7" s="4789" t="s">
        <v>1591</v>
      </c>
      <c r="D7" s="4790"/>
      <c r="E7" s="4804" t="s">
        <v>1592</v>
      </c>
      <c r="F7" s="4805"/>
      <c r="G7" s="4789" t="s">
        <v>1593</v>
      </c>
      <c r="H7" s="4790"/>
      <c r="I7" s="4789" t="s">
        <v>1594</v>
      </c>
      <c r="J7" s="4790"/>
      <c r="K7" s="410"/>
      <c r="L7" s="2196"/>
      <c r="M7" s="2197"/>
      <c r="N7" s="2197"/>
      <c r="O7" s="2197"/>
      <c r="P7" s="4776"/>
      <c r="Q7" s="4777"/>
      <c r="R7" s="4782"/>
      <c r="S7" s="4783"/>
      <c r="T7" s="4782"/>
      <c r="U7" s="4783"/>
      <c r="V7" s="4786"/>
      <c r="W7" s="4786"/>
      <c r="X7" s="1002"/>
      <c r="Y7" s="4797"/>
      <c r="Z7" s="4798"/>
      <c r="AA7" s="4768"/>
      <c r="AB7" s="4768"/>
      <c r="AC7" s="4768"/>
    </row>
    <row r="8" spans="1:29" ht="15.75" thickBot="1">
      <c r="A8" s="3607"/>
      <c r="B8" s="3608"/>
      <c r="C8" s="4839" t="s">
        <v>1836</v>
      </c>
      <c r="D8" s="4840"/>
      <c r="E8" s="4841" t="s">
        <v>1836</v>
      </c>
      <c r="F8" s="4842"/>
      <c r="G8" s="4839" t="s">
        <v>1836</v>
      </c>
      <c r="H8" s="4840"/>
      <c r="I8" s="4839" t="s">
        <v>1836</v>
      </c>
      <c r="J8" s="4840"/>
      <c r="K8" s="410" t="s">
        <v>1596</v>
      </c>
      <c r="L8" s="2196"/>
      <c r="M8" s="2197"/>
      <c r="N8" s="2197"/>
      <c r="O8" s="2197"/>
      <c r="P8" s="4778"/>
      <c r="Q8" s="4779"/>
      <c r="R8" s="4782"/>
      <c r="S8" s="4783"/>
      <c r="T8" s="4784"/>
      <c r="U8" s="4785"/>
      <c r="V8" s="4786"/>
      <c r="W8" s="4786"/>
      <c r="X8" s="1002"/>
      <c r="Y8" s="4799"/>
      <c r="Z8" s="4800"/>
      <c r="AA8" s="4769"/>
      <c r="AB8" s="4769"/>
      <c r="AC8" s="4769"/>
    </row>
    <row r="9" spans="1:29" s="49" customFormat="1" ht="15.75" thickBot="1">
      <c r="A9" s="3533" t="s">
        <v>1597</v>
      </c>
      <c r="B9" s="3534"/>
      <c r="C9" s="3192">
        <f>'数据-取费表'!B2</f>
        <v>46041</v>
      </c>
      <c r="D9" s="3268">
        <v>100</v>
      </c>
      <c r="E9" s="3222"/>
      <c r="F9" s="4277">
        <f>SUMIF(67:67,YEAR(E9)&amp;"-"&amp;INT((MONTH(E9)+2)/3),68:68)</f>
        <v>0</v>
      </c>
      <c r="G9" s="3564"/>
      <c r="H9" s="4289">
        <f>SUMIF(67:67,YEAR(G9)&amp;"-"&amp;INT((MONTH(G9)+2)/3),68:68)</f>
        <v>0</v>
      </c>
      <c r="I9" s="3564"/>
      <c r="J9" s="4289">
        <f>SUMIF(67:67,YEAR(I9)&amp;"-"&amp;INT((MONTH(I9)+2)/3),68:68)</f>
        <v>0</v>
      </c>
      <c r="K9" s="411"/>
      <c r="L9" s="2198"/>
      <c r="M9" s="2199"/>
      <c r="N9" s="2199"/>
      <c r="O9" s="2199"/>
      <c r="P9" s="4791" t="s">
        <v>1598</v>
      </c>
      <c r="Q9" s="4801"/>
      <c r="R9" s="4327" t="s">
        <v>13</v>
      </c>
      <c r="S9" s="4330">
        <f t="shared" ref="S9:S17" si="0">F9</f>
        <v>0</v>
      </c>
      <c r="T9" s="4327" t="s">
        <v>13</v>
      </c>
      <c r="U9" s="4330">
        <f t="shared" ref="U9:U17" si="1">H9</f>
        <v>0</v>
      </c>
      <c r="V9" s="4327" t="s">
        <v>13</v>
      </c>
      <c r="W9" s="4330">
        <f t="shared" ref="W9:W17" si="2">J9</f>
        <v>0</v>
      </c>
      <c r="X9" s="515"/>
      <c r="Y9" s="4793" t="s">
        <v>1598</v>
      </c>
      <c r="Z9" s="4794"/>
      <c r="AA9" s="516" t="e">
        <f>D9/F9</f>
        <v>#DIV/0!</v>
      </c>
      <c r="AB9" s="516" t="e">
        <f>D9/H9</f>
        <v>#DIV/0!</v>
      </c>
      <c r="AC9" s="516" t="e">
        <f>D9/J9</f>
        <v>#DIV/0!</v>
      </c>
    </row>
    <row r="10" spans="1:29" s="49" customFormat="1" ht="15.75" thickBot="1">
      <c r="A10" s="3533" t="s">
        <v>1599</v>
      </c>
      <c r="B10" s="3534"/>
      <c r="C10" s="3193" t="s">
        <v>1600</v>
      </c>
      <c r="D10" s="3268">
        <v>100</v>
      </c>
      <c r="E10" s="3193"/>
      <c r="F10" s="4277">
        <f>SUMIF(70:70,E10,71:71)-SUMIF(70:70,C10,71:71)+100</f>
        <v>0</v>
      </c>
      <c r="G10" s="3193"/>
      <c r="H10" s="4289">
        <f>SUMIF(70:70,G10,71:71)-SUMIF(70:70,C10,71:71)+100</f>
        <v>0</v>
      </c>
      <c r="I10" s="3193"/>
      <c r="J10" s="4289">
        <f>SUMIF(70:70,I10,71:71)-SUMIF(70:70,C10,71:71)+100</f>
        <v>0</v>
      </c>
      <c r="K10" s="411"/>
      <c r="L10" s="2198"/>
      <c r="M10" s="2199"/>
      <c r="N10" s="2199"/>
      <c r="O10" s="2199"/>
      <c r="P10" s="4791" t="s">
        <v>1601</v>
      </c>
      <c r="Q10" s="4792"/>
      <c r="R10" s="4327" t="s">
        <v>13</v>
      </c>
      <c r="S10" s="4330">
        <f t="shared" si="0"/>
        <v>0</v>
      </c>
      <c r="T10" s="4327" t="s">
        <v>13</v>
      </c>
      <c r="U10" s="4330">
        <f t="shared" si="1"/>
        <v>0</v>
      </c>
      <c r="V10" s="4327" t="s">
        <v>13</v>
      </c>
      <c r="W10" s="4330">
        <f t="shared" si="2"/>
        <v>0</v>
      </c>
      <c r="X10" s="515"/>
      <c r="Y10" s="4793" t="s">
        <v>1601</v>
      </c>
      <c r="Z10" s="4794"/>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0">
        <f>SUMIF(72:72,E11,73:73)-SUMIF(72:72,C11,73:73)+100</f>
        <v>100</v>
      </c>
      <c r="G11" s="3535"/>
      <c r="H11" s="4290">
        <f>SUMIF(72:72,G11,73:73)-SUMIF(72:72,C11,73:73)+100</f>
        <v>100</v>
      </c>
      <c r="I11" s="3535"/>
      <c r="J11" s="4290">
        <f>SUMIF(72:72,I11,73:73)-SUMIF(72:72,C11,73:73)+100</f>
        <v>100</v>
      </c>
      <c r="K11" s="411"/>
      <c r="L11" s="2198"/>
      <c r="M11" s="2199"/>
      <c r="N11" s="2199"/>
      <c r="O11" s="2253"/>
      <c r="P11" s="4754" t="s">
        <v>1604</v>
      </c>
      <c r="Q11" s="3457" t="str">
        <f t="shared" ref="Q11:Q17" si="6">B11</f>
        <v>用途</v>
      </c>
      <c r="R11" s="4327" t="s">
        <v>13</v>
      </c>
      <c r="S11" s="4330">
        <f t="shared" si="0"/>
        <v>100</v>
      </c>
      <c r="T11" s="4327" t="s">
        <v>13</v>
      </c>
      <c r="U11" s="4330">
        <f t="shared" si="1"/>
        <v>100</v>
      </c>
      <c r="V11" s="4327" t="s">
        <v>13</v>
      </c>
      <c r="W11" s="4330">
        <f t="shared" si="2"/>
        <v>100</v>
      </c>
      <c r="X11" s="515"/>
      <c r="Y11" s="4766"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1">
        <f>ROUND(100/'数据-取费表'!G16,1)</f>
        <v>118.6</v>
      </c>
      <c r="G12" s="3197"/>
      <c r="H12" s="4291">
        <f>ROUND(100/'数据-取费表'!G16,1)</f>
        <v>118.6</v>
      </c>
      <c r="I12" s="3197"/>
      <c r="J12" s="4291">
        <f>ROUND(100/'数据-取费表'!G16,1)</f>
        <v>118.6</v>
      </c>
      <c r="K12" s="461"/>
      <c r="L12" s="2200"/>
      <c r="M12" s="2201"/>
      <c r="N12" s="2201"/>
      <c r="O12" s="2254"/>
      <c r="P12" s="4754"/>
      <c r="Q12" s="3457" t="str">
        <f t="shared" si="6"/>
        <v>土地使用年限（年）</v>
      </c>
      <c r="R12" s="4327" t="s">
        <v>13</v>
      </c>
      <c r="S12" s="4330">
        <f t="shared" si="0"/>
        <v>118.6</v>
      </c>
      <c r="T12" s="4327" t="s">
        <v>13</v>
      </c>
      <c r="U12" s="4330">
        <f t="shared" si="1"/>
        <v>118.6</v>
      </c>
      <c r="V12" s="4327" t="s">
        <v>13</v>
      </c>
      <c r="W12" s="4330">
        <f t="shared" si="2"/>
        <v>118.6</v>
      </c>
      <c r="X12" s="515"/>
      <c r="Y12" s="4766"/>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1" t="e">
        <f>LOOKUP(E13,77:77,78:78)-LOOKUP(C13,77:77,78:78)+100</f>
        <v>#N/A</v>
      </c>
      <c r="G13" s="3225"/>
      <c r="H13" s="4291" t="e">
        <f>LOOKUP(G13,77:77,78:78)-LOOKUP(C13,77:77,78:78)+100</f>
        <v>#N/A</v>
      </c>
      <c r="I13" s="3196"/>
      <c r="J13" s="4291" t="e">
        <f>LOOKUP(I13,77:77,78:78)-LOOKUP(C13,77:77,78:78)+100</f>
        <v>#N/A</v>
      </c>
      <c r="K13" s="462"/>
      <c r="L13" s="2202"/>
      <c r="M13" s="2197"/>
      <c r="N13" s="2197"/>
      <c r="O13" s="2255"/>
      <c r="P13" s="4754"/>
      <c r="Q13" s="3457" t="str">
        <f t="shared" si="6"/>
        <v>容积率</v>
      </c>
      <c r="R13" s="4327" t="s">
        <v>13</v>
      </c>
      <c r="S13" s="4330" t="e">
        <f t="shared" si="0"/>
        <v>#N/A</v>
      </c>
      <c r="T13" s="4327" t="s">
        <v>13</v>
      </c>
      <c r="U13" s="4330" t="e">
        <f t="shared" si="1"/>
        <v>#N/A</v>
      </c>
      <c r="V13" s="4327" t="s">
        <v>13</v>
      </c>
      <c r="W13" s="4330" t="e">
        <f t="shared" si="2"/>
        <v>#N/A</v>
      </c>
      <c r="X13" s="515"/>
      <c r="Y13" s="4766"/>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1">
        <f>SUMIF(79:79,E14,80:80)-SUMIF(79:79,C14,80:80)+100</f>
        <v>100</v>
      </c>
      <c r="G14" s="3545"/>
      <c r="H14" s="4291">
        <f>SUMIF(79:79,G14,80:80)-SUMIF(79:79,C14,80:80)+100</f>
        <v>100</v>
      </c>
      <c r="I14" s="3559"/>
      <c r="J14" s="4291">
        <f>SUMIF(79:79,I14,80:80)-SUMIF(79:79,C14,80:80)+100</f>
        <v>100</v>
      </c>
      <c r="K14" s="461"/>
      <c r="L14" s="2198"/>
      <c r="M14" s="2199"/>
      <c r="N14" s="2199"/>
      <c r="O14" s="2253"/>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D14/F14</f>
        <v>1</v>
      </c>
      <c r="AB14" s="516">
        <f>D14/H14</f>
        <v>1</v>
      </c>
      <c r="AC14" s="516">
        <f>D14/J14</f>
        <v>1</v>
      </c>
    </row>
    <row r="15" spans="1:29" ht="15">
      <c r="A15" s="3537"/>
      <c r="B15" s="3174">
        <v>111</v>
      </c>
      <c r="C15" s="3198"/>
      <c r="D15" s="3272">
        <v>100</v>
      </c>
      <c r="E15" s="3559"/>
      <c r="F15" s="4291">
        <f>SUMIF(81:81,E15,82:82)-SUMIF(81:81,C15,82:82)+100</f>
        <v>100</v>
      </c>
      <c r="G15" s="3545"/>
      <c r="H15" s="4285">
        <f>SUMIF(81:81,G15,82:82)-SUMIF(81:81,C15,82:82)+100</f>
        <v>100</v>
      </c>
      <c r="I15" s="3559"/>
      <c r="J15" s="4285">
        <f>SUMIF(81:81,I15,82:82)-SUMIF(81:81,C15,82:82)+100</f>
        <v>100</v>
      </c>
      <c r="K15" s="461"/>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 t="shared" si="3"/>
        <v>1</v>
      </c>
      <c r="AB15" s="516">
        <f t="shared" si="4"/>
        <v>1</v>
      </c>
      <c r="AC15" s="516">
        <f t="shared" si="5"/>
        <v>1</v>
      </c>
    </row>
    <row r="16" spans="1:29" ht="15.75" thickBot="1">
      <c r="A16" s="3539"/>
      <c r="B16" s="3175">
        <v>111</v>
      </c>
      <c r="C16" s="3199"/>
      <c r="D16" s="3273">
        <v>100</v>
      </c>
      <c r="E16" s="3559"/>
      <c r="F16" s="4287">
        <f>SUMIF(83:83,E16,84:84)-SUMIF(83:83,C16,84:84)+100</f>
        <v>100</v>
      </c>
      <c r="G16" s="3545"/>
      <c r="H16" s="4287">
        <f>SUMIF(83:83,G16,84:84)-SUMIF(83:83,C16,84:84)+100</f>
        <v>100</v>
      </c>
      <c r="I16" s="3559"/>
      <c r="J16" s="4287">
        <f>SUMIF(83:83,I16,84:84)-SUMIF(83:83,C16,84:84)+100</f>
        <v>100</v>
      </c>
      <c r="K16" s="461"/>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1">
        <f>SUMIF(85:85,E18,86:86)-SUMIF(85:85,C18,86:86)+100</f>
        <v>100</v>
      </c>
      <c r="G17" s="3226"/>
      <c r="H17" s="4281">
        <f>SUMIF(85:85,G18,86:86)-SUMIF(85:85,C18,86:86)+100</f>
        <v>100</v>
      </c>
      <c r="I17" s="3232"/>
      <c r="J17" s="4281">
        <f>SUMIF(85:85,I18,86:86)-SUMIF(85:85,C18,86:86)+100</f>
        <v>100</v>
      </c>
      <c r="K17" s="462"/>
      <c r="L17" s="2203"/>
      <c r="M17" s="2197"/>
      <c r="N17" s="2197"/>
      <c r="O17" s="2255"/>
      <c r="P17" s="4807" t="s">
        <v>1609</v>
      </c>
      <c r="Q17" s="3460" t="str">
        <f t="shared" si="6"/>
        <v>产业集聚程度</v>
      </c>
      <c r="R17" s="4328" t="s">
        <v>13</v>
      </c>
      <c r="S17" s="4331">
        <f t="shared" si="0"/>
        <v>100</v>
      </c>
      <c r="T17" s="4328" t="s">
        <v>13</v>
      </c>
      <c r="U17" s="4331">
        <f t="shared" si="1"/>
        <v>100</v>
      </c>
      <c r="V17" s="4328" t="s">
        <v>13</v>
      </c>
      <c r="W17" s="4331">
        <f t="shared" si="2"/>
        <v>100</v>
      </c>
      <c r="X17" s="1002"/>
      <c r="Y17" s="4756" t="s">
        <v>1609</v>
      </c>
      <c r="Z17" s="1003" t="str">
        <f t="shared" si="7"/>
        <v>产业集聚程度</v>
      </c>
      <c r="AA17" s="1000">
        <f t="shared" si="3"/>
        <v>1</v>
      </c>
      <c r="AB17" s="1000">
        <f t="shared" si="4"/>
        <v>1</v>
      </c>
      <c r="AC17" s="1000">
        <f t="shared" si="5"/>
        <v>1</v>
      </c>
    </row>
    <row r="18" spans="1:29" ht="15">
      <c r="A18" s="3537"/>
      <c r="B18" s="3610"/>
      <c r="C18" s="3201"/>
      <c r="D18" s="3275"/>
      <c r="E18" s="3253"/>
      <c r="F18" s="4282"/>
      <c r="G18" s="3253"/>
      <c r="H18" s="4283"/>
      <c r="I18" s="3253"/>
      <c r="J18" s="4282"/>
      <c r="K18" s="461"/>
      <c r="L18" s="2203"/>
      <c r="M18" s="2197"/>
      <c r="N18" s="2197"/>
      <c r="O18" s="2255"/>
      <c r="P18" s="4808"/>
      <c r="Q18" s="3460"/>
      <c r="R18" s="4328"/>
      <c r="S18" s="4331"/>
      <c r="T18" s="4328"/>
      <c r="U18" s="4331"/>
      <c r="V18" s="4328"/>
      <c r="W18" s="4331"/>
      <c r="X18" s="1002"/>
      <c r="Y18" s="4757"/>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4">
        <f>SUMIF(87:87,E20,88:88)-SUMIF(87:87,C20,88:88)+100</f>
        <v>100</v>
      </c>
      <c r="G19" s="3227"/>
      <c r="H19" s="4284">
        <f>SUMIF(87:87,G20,88:88)-SUMIF(87:87,C20,88:88)+100</f>
        <v>100</v>
      </c>
      <c r="I19" s="3233"/>
      <c r="J19" s="4283">
        <f>SUMIF(87:87,I20,88:88)-SUMIF(87:87,C20,88:88)+100</f>
        <v>100</v>
      </c>
      <c r="K19" s="462"/>
      <c r="L19" s="2203"/>
      <c r="M19" s="2197"/>
      <c r="N19" s="2197"/>
      <c r="O19" s="2255"/>
      <c r="P19" s="4808"/>
      <c r="Q19" s="3460" t="str">
        <f>B19</f>
        <v>交通便捷度</v>
      </c>
      <c r="R19" s="4328" t="s">
        <v>13</v>
      </c>
      <c r="S19" s="4331">
        <f>F19</f>
        <v>100</v>
      </c>
      <c r="T19" s="4328" t="s">
        <v>13</v>
      </c>
      <c r="U19" s="4331">
        <f>H19</f>
        <v>100</v>
      </c>
      <c r="V19" s="4328" t="s">
        <v>13</v>
      </c>
      <c r="W19" s="4331">
        <f>J19</f>
        <v>100</v>
      </c>
      <c r="X19" s="1002"/>
      <c r="Y19" s="4757"/>
      <c r="Z19" s="1003" t="str">
        <f>Q19</f>
        <v>交通便捷度</v>
      </c>
      <c r="AA19" s="1000">
        <f t="shared" si="3"/>
        <v>1</v>
      </c>
      <c r="AB19" s="1000">
        <f t="shared" si="4"/>
        <v>1</v>
      </c>
      <c r="AC19" s="1000">
        <f t="shared" si="5"/>
        <v>1</v>
      </c>
    </row>
    <row r="20" spans="1:29" ht="15">
      <c r="A20" s="3537"/>
      <c r="B20" s="3612"/>
      <c r="C20" s="3201"/>
      <c r="D20" s="3275"/>
      <c r="E20" s="3230"/>
      <c r="F20" s="4282"/>
      <c r="G20" s="3230"/>
      <c r="H20" s="4282"/>
      <c r="I20" s="3236"/>
      <c r="J20" s="4282"/>
      <c r="K20" s="461"/>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611" t="s">
        <v>1788</v>
      </c>
      <c r="C21" s="3202">
        <f>估价对象房地状况!G17</f>
        <v>0</v>
      </c>
      <c r="D21" s="3276">
        <v>100</v>
      </c>
      <c r="E21" s="3227"/>
      <c r="F21" s="4284">
        <f>SUMIF(89:89,E22,90:90)-SUMIF(89:89,C22,90:90)+100</f>
        <v>100</v>
      </c>
      <c r="G21" s="3227"/>
      <c r="H21" s="4284">
        <f>SUMIF(89:89,G22,90:90)-SUMIF(89:89,C22,90:90)+100</f>
        <v>100</v>
      </c>
      <c r="I21" s="3227"/>
      <c r="J21" s="4284">
        <f>SUMIF(89:89,I22,90:90)-SUMIF(89:89,C22,90:90)+100</f>
        <v>100</v>
      </c>
      <c r="K21" s="462"/>
      <c r="L21" s="2203"/>
      <c r="M21" s="2197"/>
      <c r="N21" s="2197"/>
      <c r="O21" s="2255"/>
      <c r="P21" s="4808"/>
      <c r="Q21" s="3460" t="str">
        <f t="shared" ref="Q21:Q35" si="8">B21</f>
        <v>区域土地利用方向</v>
      </c>
      <c r="R21" s="4328" t="s">
        <v>13</v>
      </c>
      <c r="S21" s="4331">
        <f>F21</f>
        <v>100</v>
      </c>
      <c r="T21" s="4328" t="s">
        <v>13</v>
      </c>
      <c r="U21" s="4331">
        <f>H21</f>
        <v>100</v>
      </c>
      <c r="V21" s="4328" t="s">
        <v>13</v>
      </c>
      <c r="W21" s="4331">
        <f>J21</f>
        <v>100</v>
      </c>
      <c r="X21" s="1002"/>
      <c r="Y21" s="4757"/>
      <c r="Z21" s="1003" t="str">
        <f>Q21</f>
        <v>区域土地利用方向</v>
      </c>
      <c r="AA21" s="1000">
        <f t="shared" si="3"/>
        <v>1</v>
      </c>
      <c r="AB21" s="1000">
        <f t="shared" si="4"/>
        <v>1</v>
      </c>
      <c r="AC21" s="1000">
        <f t="shared" si="5"/>
        <v>1</v>
      </c>
    </row>
    <row r="22" spans="1:29" ht="15">
      <c r="A22" s="3541"/>
      <c r="B22" s="3612"/>
      <c r="C22" s="3201"/>
      <c r="D22" s="3275"/>
      <c r="E22" s="3230"/>
      <c r="F22" s="4282"/>
      <c r="G22" s="3230"/>
      <c r="H22" s="4282"/>
      <c r="I22" s="3230"/>
      <c r="J22" s="4282"/>
      <c r="K22" s="539"/>
      <c r="L22" s="2203"/>
      <c r="M22" s="2197"/>
      <c r="N22" s="2197"/>
      <c r="O22" s="2255"/>
      <c r="P22" s="4808"/>
      <c r="Q22" s="3460"/>
      <c r="R22" s="4328"/>
      <c r="S22" s="4331"/>
      <c r="T22" s="4328"/>
      <c r="U22" s="4331"/>
      <c r="V22" s="4328"/>
      <c r="W22" s="4331"/>
      <c r="X22" s="1002"/>
      <c r="Y22" s="4757"/>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3">
        <f>SUMIF(91:91,E24,92:92)-SUMIF(91:91,C24,92:92)+100</f>
        <v>100</v>
      </c>
      <c r="G23" s="3227"/>
      <c r="H23" s="4283">
        <f>SUMIF(91:91,G24,92:92)-SUMIF(91:91,C24,92:92)+100</f>
        <v>100</v>
      </c>
      <c r="I23" s="3233"/>
      <c r="J23" s="4283">
        <f>SUMIF(91:91,I24,92:92)-SUMIF(91:91,C24,92:92)+100</f>
        <v>100</v>
      </c>
      <c r="K23" s="462"/>
      <c r="L23" s="2203"/>
      <c r="M23" s="2197"/>
      <c r="N23" s="2197"/>
      <c r="O23" s="2255"/>
      <c r="P23" s="4808"/>
      <c r="Q23" s="3460" t="str">
        <f t="shared" si="8"/>
        <v>环境状况</v>
      </c>
      <c r="R23" s="4328" t="s">
        <v>13</v>
      </c>
      <c r="S23" s="4331">
        <f>F23</f>
        <v>100</v>
      </c>
      <c r="T23" s="4328" t="s">
        <v>13</v>
      </c>
      <c r="U23" s="4331">
        <f>H23</f>
        <v>100</v>
      </c>
      <c r="V23" s="4328" t="s">
        <v>13</v>
      </c>
      <c r="W23" s="4331">
        <f>J23</f>
        <v>100</v>
      </c>
      <c r="X23" s="1002"/>
      <c r="Y23" s="4757"/>
      <c r="Z23" s="1003" t="str">
        <f>Q23</f>
        <v>环境状况</v>
      </c>
      <c r="AA23" s="1000">
        <f t="shared" si="3"/>
        <v>1</v>
      </c>
      <c r="AB23" s="1000">
        <f t="shared" si="4"/>
        <v>1</v>
      </c>
      <c r="AC23" s="1000">
        <f t="shared" si="5"/>
        <v>1</v>
      </c>
    </row>
    <row r="24" spans="1:29" ht="15">
      <c r="A24" s="3541"/>
      <c r="B24" s="3612"/>
      <c r="C24" s="3201"/>
      <c r="D24" s="3275"/>
      <c r="E24" s="3253"/>
      <c r="F24" s="4282"/>
      <c r="G24" s="3253"/>
      <c r="H24" s="4282"/>
      <c r="I24" s="3201"/>
      <c r="J24" s="4282"/>
      <c r="K24" s="461"/>
      <c r="L24" s="2203"/>
      <c r="M24" s="2197"/>
      <c r="N24" s="2197"/>
      <c r="O24" s="2255"/>
      <c r="P24" s="4808"/>
      <c r="Q24" s="3460"/>
      <c r="R24" s="4328"/>
      <c r="S24" s="4331"/>
      <c r="T24" s="4328"/>
      <c r="U24" s="4331"/>
      <c r="V24" s="4328"/>
      <c r="W24" s="4331"/>
      <c r="X24" s="1002"/>
      <c r="Y24" s="4757"/>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3">
        <f>SUMIF(93:93,E26,94:94)-SUMIF(93:93,C26,94:94)+100</f>
        <v>100</v>
      </c>
      <c r="G25" s="3227"/>
      <c r="H25" s="4283">
        <f>SUMIF(93:93,G26,94:94)-SUMIF(93:93,C26,94:94)+100</f>
        <v>100</v>
      </c>
      <c r="I25" s="3233"/>
      <c r="J25" s="4283">
        <f>SUMIF(93:93,I26,94:94)-SUMIF(93:93,C26,94:94)+100</f>
        <v>100</v>
      </c>
      <c r="K25" s="462"/>
      <c r="L25" s="2198"/>
      <c r="M25" s="2199"/>
      <c r="N25" s="2199"/>
      <c r="O25" s="2253"/>
      <c r="P25" s="4808"/>
      <c r="Q25" s="3457" t="str">
        <f t="shared" si="8"/>
        <v>公共配套设施</v>
      </c>
      <c r="R25" s="4327" t="s">
        <v>13</v>
      </c>
      <c r="S25" s="4330">
        <f>F25</f>
        <v>100</v>
      </c>
      <c r="T25" s="4327" t="s">
        <v>13</v>
      </c>
      <c r="U25" s="4330">
        <f>H25</f>
        <v>100</v>
      </c>
      <c r="V25" s="4327" t="s">
        <v>13</v>
      </c>
      <c r="W25" s="4330">
        <f>J25</f>
        <v>100</v>
      </c>
      <c r="X25" s="515"/>
      <c r="Y25" s="4757"/>
      <c r="Z25" s="28" t="str">
        <f>Q25</f>
        <v>公共配套设施</v>
      </c>
      <c r="AA25" s="1000">
        <f>D25/F25</f>
        <v>1</v>
      </c>
      <c r="AB25" s="1000">
        <f>D25/H25</f>
        <v>1</v>
      </c>
      <c r="AC25" s="1000">
        <f>D25/J25</f>
        <v>1</v>
      </c>
    </row>
    <row r="26" spans="1:29" s="49" customFormat="1" ht="15">
      <c r="A26" s="3543"/>
      <c r="B26" s="3612"/>
      <c r="C26" s="3544"/>
      <c r="D26" s="3275"/>
      <c r="E26" s="3253"/>
      <c r="F26" s="4282"/>
      <c r="G26" s="3253"/>
      <c r="H26" s="4282"/>
      <c r="I26" s="3201"/>
      <c r="J26" s="4282"/>
      <c r="K26" s="461"/>
      <c r="L26" s="2198"/>
      <c r="M26" s="2199"/>
      <c r="N26" s="2199"/>
      <c r="O26" s="2253"/>
      <c r="P26" s="4808"/>
      <c r="Q26" s="3457"/>
      <c r="R26" s="4327"/>
      <c r="S26" s="4330"/>
      <c r="T26" s="4327"/>
      <c r="U26" s="4330"/>
      <c r="V26" s="4327"/>
      <c r="W26" s="4330"/>
      <c r="X26" s="515"/>
      <c r="Y26" s="4757"/>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3">
        <f>SUMIF(95:95,E28,96:96)-SUMIF(95:95,C28,96:96)+100</f>
        <v>100</v>
      </c>
      <c r="G27" s="3227"/>
      <c r="H27" s="4283">
        <f>SUMIF(95:95,G28,96:96)-SUMIF(95:95,C28,96:96)+100</f>
        <v>100</v>
      </c>
      <c r="I27" s="3233"/>
      <c r="J27" s="4283">
        <f>SUMIF(95:95,I28,96:96)-SUMIF(95:95,C28,96:96)+100</f>
        <v>100</v>
      </c>
      <c r="K27" s="462"/>
      <c r="L27" s="2198"/>
      <c r="M27" s="2199"/>
      <c r="N27" s="2199"/>
      <c r="O27" s="2253"/>
      <c r="P27" s="4808"/>
      <c r="Q27" s="3457" t="str">
        <f t="shared" ref="Q27" si="9">B27</f>
        <v>基础设施水平</v>
      </c>
      <c r="R27" s="4327" t="s">
        <v>13</v>
      </c>
      <c r="S27" s="4330">
        <f>F27</f>
        <v>100</v>
      </c>
      <c r="T27" s="4327" t="s">
        <v>13</v>
      </c>
      <c r="U27" s="4330">
        <f>H27</f>
        <v>100</v>
      </c>
      <c r="V27" s="4327" t="s">
        <v>13</v>
      </c>
      <c r="W27" s="4330">
        <f>J27</f>
        <v>100</v>
      </c>
      <c r="X27" s="515"/>
      <c r="Y27" s="4757"/>
      <c r="Z27" s="28" t="str">
        <f>Q27</f>
        <v>基础设施水平</v>
      </c>
      <c r="AA27" s="1000">
        <f>D27/F27</f>
        <v>1</v>
      </c>
      <c r="AB27" s="1000">
        <f>D27/H27</f>
        <v>1</v>
      </c>
      <c r="AC27" s="1000">
        <f>D27/J27</f>
        <v>1</v>
      </c>
    </row>
    <row r="28" spans="1:29" s="49" customFormat="1" ht="15">
      <c r="A28" s="3543"/>
      <c r="B28" s="3612"/>
      <c r="C28" s="3544"/>
      <c r="D28" s="3275"/>
      <c r="E28" s="3560"/>
      <c r="F28" s="4282"/>
      <c r="G28" s="3560"/>
      <c r="H28" s="4282"/>
      <c r="I28" s="3560"/>
      <c r="J28" s="4282"/>
      <c r="K28" s="461"/>
      <c r="L28" s="2198"/>
      <c r="M28" s="2199"/>
      <c r="N28" s="2199"/>
      <c r="O28" s="2253"/>
      <c r="P28" s="4808"/>
      <c r="Q28" s="3457"/>
      <c r="R28" s="4327"/>
      <c r="S28" s="4330"/>
      <c r="T28" s="4327"/>
      <c r="U28" s="4330"/>
      <c r="V28" s="4327"/>
      <c r="W28" s="4330"/>
      <c r="X28" s="515"/>
      <c r="Y28" s="4757"/>
      <c r="Z28" s="28"/>
      <c r="AA28" s="516">
        <v>1</v>
      </c>
      <c r="AB28" s="516">
        <v>1</v>
      </c>
      <c r="AC28" s="516">
        <v>1</v>
      </c>
    </row>
    <row r="29" spans="1:29" ht="15">
      <c r="A29" s="3537"/>
      <c r="B29" s="3612" t="s">
        <v>1698</v>
      </c>
      <c r="C29" s="3218"/>
      <c r="D29" s="3272">
        <v>100</v>
      </c>
      <c r="E29" s="3561"/>
      <c r="F29" s="4285">
        <f>SUMIF(97:97,E29,98:98)-SUMIF(97:97,C29,98:98)+100</f>
        <v>100</v>
      </c>
      <c r="G29" s="3561"/>
      <c r="H29" s="4285">
        <f>SUMIF(97:97,G29,98:98)-SUMIF(97:97,C29,98:98)+100</f>
        <v>100</v>
      </c>
      <c r="I29" s="3561"/>
      <c r="J29" s="4285">
        <f>SUMIF(97:97,I29,98:98)-SUMIF(97:97,C29,98:98)+100</f>
        <v>100</v>
      </c>
      <c r="K29" s="462"/>
      <c r="L29" s="2203"/>
      <c r="M29" s="2197"/>
      <c r="N29" s="2197"/>
      <c r="O29" s="2255"/>
      <c r="P29" s="4808"/>
      <c r="Q29" s="3460" t="str">
        <f t="shared" si="8"/>
        <v>临街状况</v>
      </c>
      <c r="R29" s="4328" t="s">
        <v>13</v>
      </c>
      <c r="S29" s="4331">
        <f t="shared" ref="S29:S42" si="10">F29</f>
        <v>100</v>
      </c>
      <c r="T29" s="4328" t="s">
        <v>13</v>
      </c>
      <c r="U29" s="4331">
        <f t="shared" ref="U29:U42" si="11">H29</f>
        <v>100</v>
      </c>
      <c r="V29" s="4328" t="s">
        <v>13</v>
      </c>
      <c r="W29" s="4331">
        <f t="shared" ref="W29:W42" si="12">J29</f>
        <v>100</v>
      </c>
      <c r="X29" s="1002"/>
      <c r="Y29" s="4757"/>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3">
        <f>SUMIF(99:99,E31,100:100)-SUMIF(99:99,C31,100:100)+100</f>
        <v>100</v>
      </c>
      <c r="G30" s="3227"/>
      <c r="H30" s="4283">
        <f>SUMIF(99:99,G31,100:100)-SUMIF(99:99,C31,100:100)+100</f>
        <v>100</v>
      </c>
      <c r="I30" s="3233"/>
      <c r="J30" s="4283">
        <f>SUMIF(99:99,I31,100:100)-SUMIF(99:99,C31,100:100)+100</f>
        <v>100</v>
      </c>
      <c r="K30" s="462"/>
      <c r="L30" s="2203"/>
      <c r="M30" s="2197"/>
      <c r="N30" s="2197"/>
      <c r="O30" s="2255"/>
      <c r="P30" s="4808"/>
      <c r="Q30" s="3460" t="str">
        <f t="shared" si="8"/>
        <v>毗邻道路的类型与等级</v>
      </c>
      <c r="R30" s="4328" t="s">
        <v>13</v>
      </c>
      <c r="S30" s="4331">
        <f t="shared" si="10"/>
        <v>100</v>
      </c>
      <c r="T30" s="4328" t="s">
        <v>13</v>
      </c>
      <c r="U30" s="4331">
        <f t="shared" si="11"/>
        <v>100</v>
      </c>
      <c r="V30" s="4328" t="s">
        <v>13</v>
      </c>
      <c r="W30" s="4331">
        <f t="shared" si="12"/>
        <v>100</v>
      </c>
      <c r="X30" s="1002"/>
      <c r="Y30" s="4757"/>
      <c r="Z30" s="1003" t="str">
        <f t="shared" si="13"/>
        <v>毗邻道路的类型与等级</v>
      </c>
      <c r="AA30" s="1000">
        <f t="shared" si="3"/>
        <v>1</v>
      </c>
      <c r="AB30" s="1000">
        <f t="shared" si="4"/>
        <v>1</v>
      </c>
      <c r="AC30" s="1000">
        <f t="shared" si="5"/>
        <v>1</v>
      </c>
    </row>
    <row r="31" spans="1:29" ht="15">
      <c r="A31" s="3537"/>
      <c r="B31" s="3612"/>
      <c r="C31" s="3201"/>
      <c r="D31" s="3275"/>
      <c r="E31" s="3253"/>
      <c r="F31" s="4282"/>
      <c r="G31" s="3253"/>
      <c r="H31" s="4282"/>
      <c r="I31" s="3253"/>
      <c r="J31" s="4282"/>
      <c r="K31" s="413"/>
      <c r="L31" s="2203"/>
      <c r="M31" s="2197"/>
      <c r="N31" s="2197"/>
      <c r="O31" s="2255"/>
      <c r="P31" s="4808"/>
      <c r="Q31" s="3460"/>
      <c r="R31" s="4328"/>
      <c r="S31" s="4331"/>
      <c r="T31" s="4328"/>
      <c r="U31" s="4331"/>
      <c r="V31" s="4328"/>
      <c r="W31" s="4331"/>
      <c r="X31" s="1002"/>
      <c r="Y31" s="4757"/>
      <c r="Z31" s="1003"/>
      <c r="AA31" s="1000">
        <v>1</v>
      </c>
      <c r="AB31" s="1000">
        <v>1</v>
      </c>
      <c r="AC31" s="1000">
        <v>1</v>
      </c>
    </row>
    <row r="32" spans="1:29" ht="15">
      <c r="A32" s="3537"/>
      <c r="B32" s="3614" t="s">
        <v>1790</v>
      </c>
      <c r="C32" s="3542">
        <f>估价对象房地状况!G23</f>
        <v>0</v>
      </c>
      <c r="D32" s="3272">
        <v>100</v>
      </c>
      <c r="E32" s="3561"/>
      <c r="F32" s="4285">
        <f>SUMIF(101:101,E32,102:102)-SUMIF(101:101,C32,102:102)+100</f>
        <v>100</v>
      </c>
      <c r="G32" s="3561"/>
      <c r="H32" s="4285">
        <f>SUMIF(101:101,G32,102:102)-SUMIF(101:101,C32,102:102)+100</f>
        <v>100</v>
      </c>
      <c r="I32" s="3561"/>
      <c r="J32" s="4285">
        <f>SUMIF(101:101,I32,102:102)-SUMIF(101:101,C32,102:102)+100</f>
        <v>100</v>
      </c>
      <c r="K32" s="412"/>
      <c r="L32" s="2203"/>
      <c r="M32" s="2197"/>
      <c r="N32" s="2197"/>
      <c r="O32" s="2255"/>
      <c r="P32" s="4808"/>
      <c r="Q32" s="3460" t="str">
        <f t="shared" si="8"/>
        <v>土地级别</v>
      </c>
      <c r="R32" s="4328" t="s">
        <v>13</v>
      </c>
      <c r="S32" s="4331">
        <f t="shared" si="10"/>
        <v>100</v>
      </c>
      <c r="T32" s="4328" t="s">
        <v>13</v>
      </c>
      <c r="U32" s="4331">
        <f t="shared" si="11"/>
        <v>100</v>
      </c>
      <c r="V32" s="4328" t="s">
        <v>13</v>
      </c>
      <c r="W32" s="4331">
        <f t="shared" si="12"/>
        <v>100</v>
      </c>
      <c r="X32" s="1002"/>
      <c r="Y32" s="4757"/>
      <c r="Z32" s="1003" t="str">
        <f t="shared" si="13"/>
        <v>土地级别</v>
      </c>
      <c r="AA32" s="1000">
        <f t="shared" si="3"/>
        <v>1</v>
      </c>
      <c r="AB32" s="1000">
        <f t="shared" si="4"/>
        <v>1</v>
      </c>
      <c r="AC32" s="1000">
        <f t="shared" si="5"/>
        <v>1</v>
      </c>
    </row>
    <row r="33" spans="1:31" ht="15">
      <c r="A33" s="3541"/>
      <c r="B33" s="3615">
        <v>111</v>
      </c>
      <c r="C33" s="3545"/>
      <c r="D33" s="3272">
        <v>100</v>
      </c>
      <c r="E33" s="3562"/>
      <c r="F33" s="4285">
        <f>SUMIF(103:103,E33,104:104)-SUMIF(103:103,C33,104:104)+100</f>
        <v>100</v>
      </c>
      <c r="G33" s="3562"/>
      <c r="H33" s="4285">
        <f>SUMIF(103:103,G33,104:104)-SUMIF(103:103,C33,104:104)+100</f>
        <v>100</v>
      </c>
      <c r="I33" s="3559"/>
      <c r="J33" s="4285">
        <f>SUMIF(103:103,I33,104:104)-SUMIF(103:103,C33,104:104)+100</f>
        <v>100</v>
      </c>
      <c r="K33" s="413"/>
      <c r="L33" s="2203"/>
      <c r="M33" s="2197"/>
      <c r="N33" s="2197"/>
      <c r="O33" s="2255"/>
      <c r="P33" s="4808"/>
      <c r="Q33" s="3460">
        <f t="shared" si="8"/>
        <v>111</v>
      </c>
      <c r="R33" s="4328" t="s">
        <v>13</v>
      </c>
      <c r="S33" s="4331">
        <f t="shared" si="10"/>
        <v>100</v>
      </c>
      <c r="T33" s="4328" t="s">
        <v>13</v>
      </c>
      <c r="U33" s="4331">
        <f t="shared" si="11"/>
        <v>100</v>
      </c>
      <c r="V33" s="4328" t="s">
        <v>13</v>
      </c>
      <c r="W33" s="4331">
        <f t="shared" si="12"/>
        <v>100</v>
      </c>
      <c r="X33" s="1002"/>
      <c r="Y33" s="4757"/>
      <c r="Z33" s="1003">
        <f t="shared" si="13"/>
        <v>111</v>
      </c>
      <c r="AA33" s="1000">
        <f t="shared" si="3"/>
        <v>1</v>
      </c>
      <c r="AB33" s="1000">
        <f t="shared" si="4"/>
        <v>1</v>
      </c>
      <c r="AC33" s="1000">
        <f t="shared" si="5"/>
        <v>1</v>
      </c>
    </row>
    <row r="34" spans="1:31" ht="15">
      <c r="A34" s="3546"/>
      <c r="B34" s="3616">
        <v>111</v>
      </c>
      <c r="C34" s="3545"/>
      <c r="D34" s="3272">
        <v>100</v>
      </c>
      <c r="E34" s="3562"/>
      <c r="F34" s="4285">
        <f>SUMIF(105:105,E35,106:106)-SUMIF(105:105,C35,106:106)+100</f>
        <v>100</v>
      </c>
      <c r="G34" s="3562"/>
      <c r="H34" s="4285">
        <f>SUMIF(105:105,G34,106:106)-SUMIF(105:105,C34,106:106)+100</f>
        <v>100</v>
      </c>
      <c r="I34" s="3545"/>
      <c r="J34" s="4285">
        <f>SUMIF(105:105,I34,106:106)-SUMIF(105:105,C34,106:106)+100</f>
        <v>100</v>
      </c>
      <c r="K34" s="413"/>
      <c r="L34" s="2203"/>
      <c r="M34" s="2197"/>
      <c r="N34" s="2197"/>
      <c r="O34" s="2255"/>
      <c r="P34" s="4809" t="s">
        <v>1614</v>
      </c>
      <c r="Q34" s="3460">
        <f t="shared" si="8"/>
        <v>111</v>
      </c>
      <c r="R34" s="4328" t="s">
        <v>13</v>
      </c>
      <c r="S34" s="4331">
        <f t="shared" si="10"/>
        <v>100</v>
      </c>
      <c r="T34" s="4328" t="s">
        <v>13</v>
      </c>
      <c r="U34" s="4331">
        <f t="shared" si="11"/>
        <v>100</v>
      </c>
      <c r="V34" s="4328" t="s">
        <v>13</v>
      </c>
      <c r="W34" s="4331">
        <f t="shared" si="12"/>
        <v>100</v>
      </c>
      <c r="X34" s="1002"/>
      <c r="Y34" s="4761"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87">
        <f>SUMIF(107:107,E35,108:108)-SUMIF(107:107,C35,108:108)+100</f>
        <v>100</v>
      </c>
      <c r="G35" s="3563"/>
      <c r="H35" s="4287">
        <f>SUMIF(107:107,G35,108:108)-SUMIF(107:107,C35,108:108)+100</f>
        <v>100</v>
      </c>
      <c r="I35" s="3550"/>
      <c r="J35" s="4287">
        <f>SUMIF(107:107,I35,108:108)-SUMIF(107:107,C35,108:108)+100</f>
        <v>100</v>
      </c>
      <c r="K35" s="413"/>
      <c r="L35" s="2202"/>
      <c r="M35" s="2204"/>
      <c r="N35" s="2204"/>
      <c r="O35" s="2256"/>
      <c r="P35" s="4810"/>
      <c r="Q35" s="3460">
        <f t="shared" si="8"/>
        <v>111</v>
      </c>
      <c r="R35" s="4329" t="s">
        <v>13</v>
      </c>
      <c r="S35" s="4332">
        <f t="shared" si="10"/>
        <v>100</v>
      </c>
      <c r="T35" s="4329" t="s">
        <v>13</v>
      </c>
      <c r="U35" s="4332">
        <f t="shared" si="11"/>
        <v>100</v>
      </c>
      <c r="V35" s="4329" t="s">
        <v>13</v>
      </c>
      <c r="W35" s="4332">
        <f t="shared" si="12"/>
        <v>100</v>
      </c>
      <c r="X35" s="518"/>
      <c r="Y35" s="4761"/>
      <c r="Z35" s="519">
        <f t="shared" si="13"/>
        <v>111</v>
      </c>
      <c r="AA35" s="1000">
        <f t="shared" si="3"/>
        <v>1</v>
      </c>
      <c r="AB35" s="1000">
        <f t="shared" si="4"/>
        <v>1</v>
      </c>
      <c r="AC35" s="1000">
        <f t="shared" si="5"/>
        <v>1</v>
      </c>
    </row>
    <row r="36" spans="1:31" ht="15">
      <c r="A36" s="3540" t="s">
        <v>1612</v>
      </c>
      <c r="B36" s="3179" t="s">
        <v>1791</v>
      </c>
      <c r="C36" s="3552"/>
      <c r="D36" s="3279">
        <v>100</v>
      </c>
      <c r="E36" s="3552"/>
      <c r="F36" s="4292" t="e">
        <f>LOOKUP(E36,110:110,111:111)-LOOKUP(C36,110:110,111:111)+100</f>
        <v>#N/A</v>
      </c>
      <c r="G36" s="3552"/>
      <c r="H36" s="4292" t="e">
        <f>LOOKUP(G36,110:110,111:111)-LOOKUP(C36,110:110,111:111)+100</f>
        <v>#N/A</v>
      </c>
      <c r="I36" s="3565"/>
      <c r="J36" s="4292" t="e">
        <f>LOOKUP(I36,110:110,111:111)-LOOKUP(C36,110:110,111:111)+100</f>
        <v>#N/A</v>
      </c>
      <c r="K36" s="413"/>
      <c r="L36" s="2203"/>
      <c r="M36" s="2197"/>
      <c r="N36" s="2197"/>
      <c r="O36" s="2255"/>
      <c r="P36" s="4810"/>
      <c r="Q36" s="3460" t="str">
        <f>B36</f>
        <v>宗地面积</v>
      </c>
      <c r="R36" s="4328" t="s">
        <v>13</v>
      </c>
      <c r="S36" s="4331" t="e">
        <f t="shared" si="10"/>
        <v>#N/A</v>
      </c>
      <c r="T36" s="4328" t="s">
        <v>13</v>
      </c>
      <c r="U36" s="4331" t="e">
        <f t="shared" si="11"/>
        <v>#N/A</v>
      </c>
      <c r="V36" s="4328" t="s">
        <v>13</v>
      </c>
      <c r="W36" s="4331" t="e">
        <f t="shared" si="12"/>
        <v>#N/A</v>
      </c>
      <c r="X36" s="1002"/>
      <c r="Y36" s="4761"/>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5">
        <f>SUMIF(112:112,E37,113:113)-SUMIF(112:112,C37,113:113)+100</f>
        <v>100</v>
      </c>
      <c r="G37" s="3208"/>
      <c r="H37" s="4285">
        <f>SUMIF(112:112,G37,113:113)-SUMIF(112:112,C37,113:113)+100</f>
        <v>100</v>
      </c>
      <c r="I37" s="3208"/>
      <c r="J37" s="4285">
        <f>SUMIF(112:112,I37,113:113)-SUMIF(112:112,C37,113:113)+100</f>
        <v>100</v>
      </c>
      <c r="K37" s="412"/>
      <c r="L37" s="2203"/>
      <c r="M37" s="2197"/>
      <c r="N37" s="2197"/>
      <c r="O37" s="2255"/>
      <c r="P37" s="4810"/>
      <c r="Q37" s="3460" t="str">
        <f t="shared" ref="Q37:Q42" si="14">B37</f>
        <v>宗地形状</v>
      </c>
      <c r="R37" s="4328" t="s">
        <v>13</v>
      </c>
      <c r="S37" s="4331">
        <f t="shared" si="10"/>
        <v>100</v>
      </c>
      <c r="T37" s="4328" t="s">
        <v>13</v>
      </c>
      <c r="U37" s="4331">
        <f t="shared" si="11"/>
        <v>100</v>
      </c>
      <c r="V37" s="4328" t="s">
        <v>13</v>
      </c>
      <c r="W37" s="4331">
        <f t="shared" si="12"/>
        <v>100</v>
      </c>
      <c r="X37" s="1002"/>
      <c r="Y37" s="4761"/>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5">
        <f>SUMIF(114:114,E38,115:115)-SUMIF(114:114,C38,115:115)+100</f>
        <v>100</v>
      </c>
      <c r="G38" s="3554"/>
      <c r="H38" s="4285">
        <f>SUMIF(114:114,G38,115:115)-SUMIF(114:114,C38,115:115)+100</f>
        <v>100</v>
      </c>
      <c r="I38" s="3554"/>
      <c r="J38" s="4285">
        <f>SUMIF(114:114,I38,115:115)-SUMIF(114:114,C38,115:115)+100</f>
        <v>100</v>
      </c>
      <c r="K38" s="412"/>
      <c r="L38" s="2198"/>
      <c r="M38" s="2199"/>
      <c r="N38" s="2199"/>
      <c r="O38" s="2253"/>
      <c r="P38" s="4810"/>
      <c r="Q38" s="3460" t="str">
        <f t="shared" si="14"/>
        <v>宗地开发程度</v>
      </c>
      <c r="R38" s="4327" t="s">
        <v>13</v>
      </c>
      <c r="S38" s="4330">
        <f t="shared" si="10"/>
        <v>100</v>
      </c>
      <c r="T38" s="4327" t="s">
        <v>13</v>
      </c>
      <c r="U38" s="4330">
        <f t="shared" si="11"/>
        <v>100</v>
      </c>
      <c r="V38" s="4327" t="s">
        <v>13</v>
      </c>
      <c r="W38" s="4330">
        <f t="shared" si="12"/>
        <v>100</v>
      </c>
      <c r="X38" s="515"/>
      <c r="Y38" s="4761"/>
      <c r="Z38" s="28" t="str">
        <f t="shared" si="13"/>
        <v>宗地开发程度</v>
      </c>
      <c r="AA38" s="516">
        <f t="shared" si="3"/>
        <v>1</v>
      </c>
      <c r="AB38" s="516">
        <f t="shared" si="4"/>
        <v>1</v>
      </c>
      <c r="AC38" s="516">
        <f t="shared" si="5"/>
        <v>1</v>
      </c>
    </row>
    <row r="39" spans="1:31" ht="15">
      <c r="A39" s="3551"/>
      <c r="B39" s="3459" t="s">
        <v>1795</v>
      </c>
      <c r="C39" s="3208"/>
      <c r="D39" s="3272">
        <v>100</v>
      </c>
      <c r="E39" s="3208"/>
      <c r="F39" s="4285">
        <f>SUMIF(116:116,E39,117:117)-SUMIF(116:116,C39,117:117)+100</f>
        <v>100</v>
      </c>
      <c r="G39" s="3208"/>
      <c r="H39" s="4285">
        <f>SUMIF(116:116,G39,117:117)-SUMIF(116:116,C39,117:117)+100</f>
        <v>100</v>
      </c>
      <c r="I39" s="3208"/>
      <c r="J39" s="4285">
        <f>SUMIF(116:116,I39,117:117)-SUMIF(116:116,C39,117:117)+100</f>
        <v>100</v>
      </c>
      <c r="K39" s="412"/>
      <c r="L39" s="2203"/>
      <c r="M39" s="2197"/>
      <c r="N39" s="2197"/>
      <c r="O39" s="2255"/>
      <c r="P39" s="4810" t="s">
        <v>1614</v>
      </c>
      <c r="Q39" s="3460" t="str">
        <f t="shared" si="14"/>
        <v>工程地质条件</v>
      </c>
      <c r="R39" s="4328" t="s">
        <v>13</v>
      </c>
      <c r="S39" s="4331">
        <f t="shared" si="10"/>
        <v>100</v>
      </c>
      <c r="T39" s="4328" t="s">
        <v>13</v>
      </c>
      <c r="U39" s="4331">
        <f t="shared" si="11"/>
        <v>100</v>
      </c>
      <c r="V39" s="4328" t="s">
        <v>13</v>
      </c>
      <c r="W39" s="4331">
        <f t="shared" si="12"/>
        <v>100</v>
      </c>
      <c r="X39" s="1002"/>
      <c r="Y39" s="4761"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5">
        <f>SUMIF(118:118,E40,119:119)-SUMIF(118:118,C40,119:119)+100</f>
        <v>100</v>
      </c>
      <c r="G40" s="3545"/>
      <c r="H40" s="4285">
        <f>SUMIF(118:118,G40,119:119)-SUMIF(118:118,C40,119:119)+100</f>
        <v>100</v>
      </c>
      <c r="I40" s="3559"/>
      <c r="J40" s="4285">
        <f>SUMIF(118:118,I40,119:119)-SUMIF(118:118,C40,119:119)+100</f>
        <v>100</v>
      </c>
      <c r="K40" s="413"/>
      <c r="L40" s="2203"/>
      <c r="M40" s="2197"/>
      <c r="N40" s="2197"/>
      <c r="O40" s="2255"/>
      <c r="P40" s="4810"/>
      <c r="Q40" s="3460">
        <f t="shared" si="14"/>
        <v>111</v>
      </c>
      <c r="R40" s="4328" t="s">
        <v>13</v>
      </c>
      <c r="S40" s="4331">
        <f t="shared" si="10"/>
        <v>100</v>
      </c>
      <c r="T40" s="4328" t="s">
        <v>13</v>
      </c>
      <c r="U40" s="4331">
        <f t="shared" si="11"/>
        <v>100</v>
      </c>
      <c r="V40" s="4328" t="s">
        <v>13</v>
      </c>
      <c r="W40" s="4331">
        <f t="shared" si="12"/>
        <v>100</v>
      </c>
      <c r="X40" s="1002"/>
      <c r="Y40" s="4761"/>
      <c r="Z40" s="1003">
        <f t="shared" si="13"/>
        <v>111</v>
      </c>
      <c r="AA40" s="1000">
        <f t="shared" si="3"/>
        <v>1</v>
      </c>
      <c r="AB40" s="1000">
        <f t="shared" si="4"/>
        <v>1</v>
      </c>
      <c r="AC40" s="1000">
        <f t="shared" si="5"/>
        <v>1</v>
      </c>
    </row>
    <row r="41" spans="1:31" ht="15">
      <c r="A41" s="3551"/>
      <c r="B41" s="3547">
        <v>111</v>
      </c>
      <c r="C41" s="3545"/>
      <c r="D41" s="3272">
        <v>100</v>
      </c>
      <c r="E41" s="3545"/>
      <c r="F41" s="4285">
        <f>SUMIF(120:120,E41,121:121)-SUMIF(120:120,C41,121:121)+100</f>
        <v>100</v>
      </c>
      <c r="G41" s="3545"/>
      <c r="H41" s="4285">
        <f>SUMIF(120:120,G41,121:121)-SUMIF(120:120,C41,121:121)+100</f>
        <v>100</v>
      </c>
      <c r="I41" s="3559"/>
      <c r="J41" s="4285">
        <f>SUMIF(120:120,I41,121:121)-SUMIF(120:120,C41,121:121)+100</f>
        <v>100</v>
      </c>
      <c r="K41" s="413"/>
      <c r="L41" s="2203"/>
      <c r="M41" s="2197"/>
      <c r="N41" s="2197"/>
      <c r="O41" s="2255"/>
      <c r="P41" s="4810"/>
      <c r="Q41" s="3460">
        <f t="shared" si="14"/>
        <v>111</v>
      </c>
      <c r="R41" s="4328" t="s">
        <v>13</v>
      </c>
      <c r="S41" s="4331">
        <f t="shared" si="10"/>
        <v>100</v>
      </c>
      <c r="T41" s="4328" t="s">
        <v>13</v>
      </c>
      <c r="U41" s="4331">
        <f t="shared" si="11"/>
        <v>100</v>
      </c>
      <c r="V41" s="4328" t="s">
        <v>13</v>
      </c>
      <c r="W41" s="4331">
        <f t="shared" si="12"/>
        <v>100</v>
      </c>
      <c r="X41" s="1002"/>
      <c r="Y41" s="4761"/>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87">
        <f>SUMIF(122:122,E42,123:123)-SUMIF(122:122,C42,123:123)+100</f>
        <v>100</v>
      </c>
      <c r="G42" s="3545"/>
      <c r="H42" s="4287">
        <f>SUMIF(122:122,G42,123:123)-SUMIF(122:122,C42,123:123)+100</f>
        <v>100</v>
      </c>
      <c r="I42" s="3559"/>
      <c r="J42" s="4287">
        <f>SUMIF(122:122,I42,123:123)-SUMIF(122:122,C42,123:123)+100</f>
        <v>100</v>
      </c>
      <c r="K42" s="465"/>
      <c r="L42" s="2202"/>
      <c r="M42" s="2204"/>
      <c r="N42" s="2204"/>
      <c r="O42" s="2256"/>
      <c r="P42" s="4810"/>
      <c r="Q42" s="3460">
        <f t="shared" si="14"/>
        <v>111</v>
      </c>
      <c r="R42" s="4329" t="s">
        <v>13</v>
      </c>
      <c r="S42" s="4332">
        <f t="shared" si="10"/>
        <v>100</v>
      </c>
      <c r="T42" s="4329" t="s">
        <v>13</v>
      </c>
      <c r="U42" s="4332">
        <f t="shared" si="11"/>
        <v>100</v>
      </c>
      <c r="V42" s="4329" t="s">
        <v>13</v>
      </c>
      <c r="W42" s="4332">
        <f t="shared" si="12"/>
        <v>100</v>
      </c>
      <c r="X42" s="518"/>
      <c r="Y42" s="4761"/>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54" t="str">
        <f>A43</f>
        <v>成交单价</v>
      </c>
      <c r="Q43" s="4754"/>
      <c r="R43" s="4755">
        <f>E43</f>
        <v>0</v>
      </c>
      <c r="S43" s="4755"/>
      <c r="T43" s="4755">
        <f>G43</f>
        <v>0</v>
      </c>
      <c r="U43" s="4755"/>
      <c r="V43" s="4755">
        <f>I43</f>
        <v>0</v>
      </c>
      <c r="W43" s="4755"/>
      <c r="X43" s="504"/>
      <c r="Y43" s="520"/>
      <c r="Z43" s="504"/>
      <c r="AA43" s="504"/>
      <c r="AB43" s="504"/>
      <c r="AC43" s="504"/>
    </row>
    <row r="44" spans="1:31" ht="15.75" thickBot="1">
      <c r="A44" s="296" t="s">
        <v>1711</v>
      </c>
      <c r="B44" s="467"/>
      <c r="C44" s="4304" t="e">
        <f>R45</f>
        <v>#DIV/0!</v>
      </c>
      <c r="D44" s="4465" t="s">
        <v>2053</v>
      </c>
      <c r="E44" s="4304" t="e">
        <f>R44</f>
        <v>#DIV/0!</v>
      </c>
      <c r="F44" s="3182"/>
      <c r="G44" s="4293" t="e">
        <f>T44</f>
        <v>#DIV/0!</v>
      </c>
      <c r="H44" s="3182"/>
      <c r="I44" s="4304" t="e">
        <f>V44</f>
        <v>#DIV/0!</v>
      </c>
      <c r="J44" s="3182"/>
      <c r="K44" s="3237">
        <f>F44+H44+J44</f>
        <v>0</v>
      </c>
      <c r="L44" s="2205"/>
      <c r="M44" s="2197"/>
      <c r="N44" s="2197"/>
      <c r="O44" s="2206"/>
      <c r="P44" s="4754" t="str">
        <f>A44</f>
        <v>比较价值（元/平方米）</v>
      </c>
      <c r="Q44" s="4754"/>
      <c r="R44" s="4755" t="e">
        <f>ROUND(PRODUCT(R43,AA9:AA42),0)</f>
        <v>#DIV/0!</v>
      </c>
      <c r="S44" s="4755"/>
      <c r="T44" s="4755" t="e">
        <f>ROUND(PRODUCT(T43,AB9:AB42),0)</f>
        <v>#DIV/0!</v>
      </c>
      <c r="U44" s="4755"/>
      <c r="V44" s="4755" t="e">
        <f>ROUND(PRODUCT(V43,AC9:AC42),0)</f>
        <v>#DIV/0!</v>
      </c>
      <c r="W44" s="4755"/>
      <c r="X44" s="504"/>
      <c r="Y44" s="504"/>
      <c r="Z44" s="504"/>
      <c r="AA44" s="504"/>
      <c r="AB44" s="504"/>
      <c r="AC44" s="504"/>
    </row>
    <row r="45" spans="1:31" ht="15.75" thickBot="1">
      <c r="A45" s="298" t="s">
        <v>1712</v>
      </c>
      <c r="B45" s="299"/>
      <c r="C45" s="4305" t="e">
        <f>R45</f>
        <v>#DIV/0!</v>
      </c>
      <c r="D45" s="3599"/>
      <c r="E45" s="3599"/>
      <c r="F45" s="3599"/>
      <c r="G45" s="3599"/>
      <c r="H45" s="3599"/>
      <c r="I45" s="3599"/>
      <c r="J45" s="3599"/>
      <c r="K45" s="3621"/>
      <c r="L45" s="2205"/>
      <c r="M45" s="2197"/>
      <c r="N45" s="2197"/>
      <c r="O45" s="2206"/>
      <c r="P45" s="4751" t="str">
        <f>A45</f>
        <v>估价对象XX用房的比较价值（楼面单价，元/平方米）</v>
      </c>
      <c r="Q45" s="4752"/>
      <c r="R45" s="4753" t="e">
        <f>ROUND(IF(D44="简单平均",AVERAGE(R44:W44),R44*F44+T44*H44+V44*J44),0)</f>
        <v>#DIV/0!</v>
      </c>
      <c r="S45" s="4753"/>
      <c r="T45" s="4753"/>
      <c r="U45" s="4753"/>
      <c r="V45" s="4753"/>
      <c r="W45" s="4753"/>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12" t="s">
        <v>1804</v>
      </c>
      <c r="H52" s="4837"/>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5" t="e">
        <f>C45</f>
        <v>#DIV/0!</v>
      </c>
      <c r="C53" s="3532">
        <v>1</v>
      </c>
      <c r="D53" s="3509">
        <v>1</v>
      </c>
      <c r="E53" s="3508">
        <f>'数据-汇总表'!E8+'数据-汇总表'!E9</f>
        <v>32206.959999999999</v>
      </c>
      <c r="F53" s="3511" t="e">
        <f t="shared" ref="F53:F62" si="15">ROUND(B53*E53/10000,0)</f>
        <v>#DIV/0!</v>
      </c>
      <c r="G53" s="4838"/>
      <c r="H53" s="4824"/>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5"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5"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5"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5"/>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5"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5"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5" t="e">
        <f t="shared" si="17"/>
        <v>#DIV/0!</v>
      </c>
      <c r="C60" s="3507">
        <f t="shared" si="16"/>
        <v>0</v>
      </c>
      <c r="D60" s="3510">
        <v>0.25</v>
      </c>
      <c r="E60" s="3513">
        <f>'数据-汇总表'!E13</f>
        <v>7219.03</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5"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5" t="e">
        <f t="shared" si="17"/>
        <v>#DIV/0!</v>
      </c>
      <c r="C62" s="3507">
        <f t="shared" si="16"/>
        <v>0</v>
      </c>
      <c r="D62" s="3510">
        <v>0.25</v>
      </c>
      <c r="E62" s="3513">
        <f>'数据-汇总表'!E15</f>
        <v>0</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6"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43" t="s">
        <v>3402</v>
      </c>
      <c r="D6" s="4843"/>
      <c r="E6" s="4843"/>
      <c r="F6" s="4843"/>
      <c r="G6" s="4843"/>
      <c r="H6" s="4843"/>
      <c r="I6" s="4843"/>
      <c r="J6" s="4843"/>
      <c r="K6" s="4844"/>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47" t="s">
        <v>3415</v>
      </c>
      <c r="B11" s="4848"/>
      <c r="C11" s="4848"/>
      <c r="D11" s="4848"/>
      <c r="E11" s="4848"/>
      <c r="F11" s="4848"/>
      <c r="G11" s="4848"/>
      <c r="H11" s="4848"/>
      <c r="I11" s="4848"/>
      <c r="J11" s="4848"/>
      <c r="K11" s="4849"/>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45" t="s">
        <v>3414</v>
      </c>
      <c r="H32" s="4845"/>
      <c r="I32" s="4845"/>
      <c r="J32" s="4845"/>
      <c r="K32" s="4846"/>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t="str">
        <f>IF(E2="商业",项目基本情况!B37,IF(E2="办公",项目基本情况!C37,IF(E2="住宅",项目基本情况!D37,IF(E2="工业",项目基本情况!E37,项目基本情况!F37))))</f>
        <v>七级</v>
      </c>
      <c r="H2" s="1587" t="s">
        <v>1855</v>
      </c>
      <c r="I2" s="1588" t="str">
        <f>IF(E2="商业",项目基本情况!B38,IF(E2="办公",项目基本情况!C38,IF(E2="住宅",项目基本情况!D38,IF(E2="工业",项目基本情况!E38,项目基本情况!F38))))</f>
        <v>Ⅶ-门1</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1.5019</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1.1838</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1.0004999999999999</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0.88239999999999996</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0.84799999999999998</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t="str">
        <f>G2</f>
        <v>七级</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54" t="s">
        <v>1877</v>
      </c>
      <c r="X8" s="4855"/>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56"/>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56"/>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57" t="s">
        <v>3159</v>
      </c>
      <c r="B20" s="70" t="s">
        <v>1911</v>
      </c>
      <c r="C20" s="3320" t="e">
        <f>ROUND(IF(F21="与级别开发程度一致",0,(G21-E21)/C21),0)</f>
        <v>#DIV/0!</v>
      </c>
      <c r="D20" s="2709" t="s">
        <v>1915</v>
      </c>
      <c r="E20" s="2710"/>
      <c r="F20" s="4863" t="s">
        <v>1912</v>
      </c>
      <c r="G20" s="4864"/>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8"/>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315</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66"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61"/>
      <c r="B37" s="1697" t="s">
        <v>1953</v>
      </c>
      <c r="C37" s="3329" t="e">
        <f>ROUND(D5*C22*C23*C24*C28*F37,0)</f>
        <v>#DIV/0!</v>
      </c>
      <c r="D37" s="3332"/>
      <c r="E37" s="3331" t="e">
        <f>ROUND(C37*D37/10000,0)</f>
        <v>#DIV/0!</v>
      </c>
      <c r="F37" s="3296">
        <f>SUMIF(修正!A59:A70,G2,修正!B59:B70)</f>
        <v>0.6</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62"/>
      <c r="B38" s="1628" t="s">
        <v>1954</v>
      </c>
      <c r="C38" s="3329" t="e">
        <f>ROUND(D5*C22*C23*C24*C28*F38,0)</f>
        <v>#DIV/0!</v>
      </c>
      <c r="D38" s="3332"/>
      <c r="E38" s="3331" t="e">
        <f t="shared" ref="E38:E42" si="4">ROUND(C38*D38/10000,0)</f>
        <v>#DIV/0!</v>
      </c>
      <c r="F38" s="3296">
        <f>SUMIF(修正!A59:A70,G2,修正!C59:C70)</f>
        <v>0.3</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62"/>
      <c r="B39" s="1628" t="s">
        <v>3162</v>
      </c>
      <c r="C39" s="3329" t="e">
        <f>ROUND(D5*C22*C23*C24*C28*F39,0)</f>
        <v>#DIV/0!</v>
      </c>
      <c r="D39" s="3332"/>
      <c r="E39" s="3331" t="e">
        <f t="shared" si="4"/>
        <v>#DIV/0!</v>
      </c>
      <c r="F39" s="3296">
        <f>SUMIF(修正!A59:A70,G2,修正!D59:D70)</f>
        <v>0.25</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0.25</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0.25</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0.15</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9" t="s">
        <v>3197</v>
      </c>
      <c r="B103" s="4859"/>
      <c r="C103" s="4859"/>
      <c r="D103" s="4859"/>
      <c r="E103" s="4859"/>
      <c r="F103" s="4859"/>
      <c r="G103" s="4859"/>
      <c r="H103" s="4859"/>
      <c r="I103" s="4859"/>
      <c r="J103" s="4859"/>
      <c r="K103" s="2756"/>
      <c r="L103" s="2756"/>
      <c r="M103" s="2756"/>
      <c r="N103" s="2756"/>
    </row>
    <row r="104" spans="1:14">
      <c r="A104" s="4860" t="s">
        <v>3198</v>
      </c>
      <c r="B104" s="4860" t="s">
        <v>3199</v>
      </c>
      <c r="C104" s="2757" t="s">
        <v>3200</v>
      </c>
      <c r="D104" s="2758"/>
      <c r="E104" s="2758"/>
      <c r="F104" s="2758"/>
      <c r="G104" s="2758"/>
      <c r="H104" s="2758"/>
      <c r="I104" s="2758"/>
      <c r="J104" s="2759"/>
      <c r="K104" s="2760"/>
      <c r="L104" s="2760"/>
      <c r="M104" s="2760"/>
      <c r="N104" s="2760"/>
    </row>
    <row r="105" spans="1:14">
      <c r="A105" s="4860"/>
      <c r="B105" s="4860"/>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50"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51"/>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51"/>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51"/>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51"/>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51"/>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52"/>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53" t="s">
        <v>3214</v>
      </c>
      <c r="B113" s="4853"/>
      <c r="C113" s="4853"/>
      <c r="D113" s="4853"/>
      <c r="E113" s="4853"/>
      <c r="F113" s="4853"/>
      <c r="G113" s="4853"/>
      <c r="H113" s="4853"/>
      <c r="I113" s="4853"/>
      <c r="J113" s="4853"/>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t="str">
        <f>G2</f>
        <v>七级</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43" t="s">
        <v>3402</v>
      </c>
      <c r="D6" s="4843"/>
      <c r="E6" s="4843"/>
      <c r="F6" s="4843"/>
      <c r="G6" s="4843"/>
      <c r="H6" s="4843"/>
      <c r="I6" s="4843"/>
      <c r="J6" s="4843"/>
      <c r="K6" s="4844"/>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5" t="s">
        <v>3567</v>
      </c>
      <c r="B11" s="4866"/>
      <c r="C11" s="4866"/>
      <c r="D11" s="4866"/>
      <c r="E11" s="4866"/>
      <c r="F11" s="4866"/>
      <c r="G11" s="4866"/>
      <c r="H11" s="4866"/>
      <c r="I11" s="4866"/>
      <c r="J11" s="4866"/>
      <c r="K11" s="4867"/>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8" t="s">
        <v>3583</v>
      </c>
      <c r="H28" s="3823"/>
      <c r="I28" s="3823"/>
      <c r="J28" s="3823"/>
      <c r="K28" s="3838"/>
    </row>
    <row r="29" spans="1:33" s="582" customFormat="1" ht="13.5" customHeight="1">
      <c r="A29" s="3840" t="s">
        <v>3595</v>
      </c>
      <c r="B29" s="3687" t="s">
        <v>3600</v>
      </c>
      <c r="C29" s="2996">
        <f ca="1">ROUND((C16+C23)*F28,0)</f>
        <v>3433</v>
      </c>
      <c r="D29" s="1109"/>
      <c r="E29" s="1109"/>
      <c r="F29" s="3076"/>
      <c r="G29" s="4868"/>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3"/>
      <c r="C2" s="4493"/>
      <c r="D2" s="4493"/>
      <c r="E2" s="4493"/>
    </row>
    <row r="3" spans="1:5" ht="18">
      <c r="A3" s="4494" t="str">
        <f>IF(项目基本情况!B9="房地产市场价值","估价结果一览表（市场价值不需“结果表-1”）","估价结果一览表")</f>
        <v>估价结果一览表</v>
      </c>
      <c r="B3" s="4494"/>
      <c r="C3" s="4494"/>
      <c r="D3" s="4494"/>
      <c r="E3" s="4494"/>
    </row>
    <row r="4" spans="1:5" ht="19.5" thickBot="1">
      <c r="A4" s="1138"/>
      <c r="B4" s="4492" t="s">
        <v>904</v>
      </c>
      <c r="C4" s="4492"/>
      <c r="D4" s="4492"/>
      <c r="E4" s="1138"/>
    </row>
    <row r="5" spans="1:5" ht="16.5" thickTop="1">
      <c r="A5" s="1136"/>
      <c r="B5" s="4490" t="s">
        <v>896</v>
      </c>
      <c r="C5" s="1139" t="s">
        <v>897</v>
      </c>
      <c r="D5" s="603">
        <f ca="1">结果表!H101</f>
        <v>50360</v>
      </c>
      <c r="E5" s="1136"/>
    </row>
    <row r="6" spans="1:5" ht="15.75">
      <c r="A6" s="1136"/>
      <c r="B6" s="4490"/>
      <c r="C6" s="1139" t="s">
        <v>898</v>
      </c>
      <c r="D6" s="603" t="str">
        <f ca="1">NUMBERSTRING(INT(D5*10000),2)&amp;"元整"</f>
        <v>伍亿零叁佰陆拾万元整</v>
      </c>
      <c r="E6" s="1136"/>
    </row>
    <row r="7" spans="1:5" ht="15.75">
      <c r="A7" s="1136"/>
      <c r="B7" s="4495"/>
      <c r="C7" s="1140" t="s">
        <v>899</v>
      </c>
      <c r="D7" s="604">
        <f ca="1">结果表!H102</f>
        <v>12683</v>
      </c>
      <c r="E7" s="1136"/>
    </row>
    <row r="8" spans="1:5" ht="15.75">
      <c r="A8" s="1136"/>
      <c r="B8" s="4496" t="str">
        <f>结果表!E103</f>
        <v>2.估价师知悉的法定优先受偿款</v>
      </c>
      <c r="C8" s="1141" t="s">
        <v>900</v>
      </c>
      <c r="D8" s="604">
        <f>结果表!H103</f>
        <v>0</v>
      </c>
      <c r="E8" s="1136"/>
    </row>
    <row r="9" spans="1:5" ht="15.75">
      <c r="A9" s="1136"/>
      <c r="B9" s="4498"/>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9" t="str">
        <f>结果表!E107</f>
        <v>3.房地产抵押价值</v>
      </c>
      <c r="C13" s="1144" t="s">
        <v>897</v>
      </c>
      <c r="D13" s="606">
        <f ca="1">结果表!H107</f>
        <v>50360</v>
      </c>
      <c r="E13" s="1136"/>
    </row>
    <row r="14" spans="1:5" ht="15.75">
      <c r="A14" s="1136"/>
      <c r="B14" s="4490"/>
      <c r="C14" s="1139" t="s">
        <v>898</v>
      </c>
      <c r="D14" s="603" t="str">
        <f ca="1">NUMBERSTRING(INT(D13*10000),2)&amp;"元整"</f>
        <v>伍亿零叁佰陆拾万元整</v>
      </c>
      <c r="E14" s="1136"/>
    </row>
    <row r="15" spans="1:5" ht="15">
      <c r="A15" s="1136"/>
      <c r="B15" s="4495"/>
      <c r="C15" s="1140" t="s">
        <v>908</v>
      </c>
      <c r="D15" s="611">
        <f ca="1">结果表!H108</f>
        <v>12683</v>
      </c>
      <c r="E15" s="1136"/>
    </row>
    <row r="16" spans="1:5" ht="15">
      <c r="A16" s="1136"/>
      <c r="B16" s="4496" t="str">
        <f>结果表!E109</f>
        <v>——</v>
      </c>
      <c r="C16" s="1144" t="s">
        <v>909</v>
      </c>
      <c r="D16" s="1145" t="str">
        <f>结果表!H109</f>
        <v>——</v>
      </c>
      <c r="E16" s="1136"/>
    </row>
    <row r="17" spans="1:5" ht="15.75">
      <c r="A17" s="1136"/>
      <c r="B17" s="4497"/>
      <c r="C17" s="1139" t="s">
        <v>910</v>
      </c>
      <c r="D17" s="603" t="e">
        <f>NUMBERSTRING(INT(D16*10000),2)&amp;"元整"</f>
        <v>#VALUE!</v>
      </c>
      <c r="E17" s="1136"/>
    </row>
    <row r="18" spans="1:5" ht="15">
      <c r="A18" s="1136"/>
      <c r="B18" s="4498"/>
      <c r="C18" s="1140" t="s">
        <v>899</v>
      </c>
      <c r="D18" s="611" t="str">
        <f>结果表!H110</f>
        <v>——</v>
      </c>
      <c r="E18" s="1136"/>
    </row>
    <row r="19" spans="1:5" ht="15.75">
      <c r="A19" s="1136"/>
      <c r="B19" s="4489" t="str">
        <f>结果表!E111</f>
        <v>——</v>
      </c>
      <c r="C19" s="1144" t="s">
        <v>897</v>
      </c>
      <c r="D19" s="604" t="str">
        <f>结果表!H111</f>
        <v>——</v>
      </c>
      <c r="E19" s="1136"/>
    </row>
    <row r="20" spans="1:5" ht="15.75">
      <c r="A20" s="1136"/>
      <c r="B20" s="4490"/>
      <c r="C20" s="1139" t="s">
        <v>910</v>
      </c>
      <c r="D20" s="603" t="e">
        <f>NUMBERSTRING(INT(D19*10000),2)&amp;"元整"</f>
        <v>#VALUE!</v>
      </c>
      <c r="E20" s="1136"/>
    </row>
    <row r="21" spans="1:5" ht="15.75" thickBot="1">
      <c r="A21" s="1136"/>
      <c r="B21" s="4491"/>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80" t="s">
        <v>2512</v>
      </c>
      <c r="B20" s="4873" t="s">
        <v>2533</v>
      </c>
      <c r="C20" s="2815" t="s">
        <v>2344</v>
      </c>
      <c r="D20" s="2815"/>
      <c r="E20" s="3499">
        <v>1</v>
      </c>
      <c r="F20" s="2500" t="s">
        <v>2345</v>
      </c>
      <c r="G20" s="2500"/>
    </row>
    <row r="21" spans="1:13" ht="19.5" customHeight="1">
      <c r="A21" s="4881"/>
      <c r="B21" s="4869"/>
      <c r="C21" s="2808" t="s">
        <v>2346</v>
      </c>
      <c r="D21" s="2808"/>
      <c r="E21" s="3500">
        <v>1</v>
      </c>
      <c r="F21" s="2500" t="s">
        <v>2347</v>
      </c>
      <c r="G21" s="2500"/>
    </row>
    <row r="22" spans="1:13" ht="19.5" customHeight="1">
      <c r="A22" s="4881"/>
      <c r="B22" s="4869"/>
      <c r="C22" s="2808" t="s">
        <v>2348</v>
      </c>
      <c r="D22" s="2808"/>
      <c r="E22" s="3500">
        <v>0.9</v>
      </c>
      <c r="F22" s="2500" t="s">
        <v>2349</v>
      </c>
      <c r="G22" s="2500"/>
    </row>
    <row r="23" spans="1:13" ht="19.5" customHeight="1">
      <c r="A23" s="4881"/>
      <c r="B23" s="4869"/>
      <c r="C23" s="2808" t="s">
        <v>2350</v>
      </c>
      <c r="D23" s="2808"/>
      <c r="E23" s="3500">
        <v>0.9</v>
      </c>
      <c r="F23" s="2500" t="s">
        <v>2351</v>
      </c>
      <c r="G23" s="2500"/>
    </row>
    <row r="24" spans="1:13" ht="19.5" customHeight="1">
      <c r="A24" s="4881"/>
      <c r="B24" s="4869"/>
      <c r="C24" s="2808" t="s">
        <v>2352</v>
      </c>
      <c r="D24" s="2808"/>
      <c r="E24" s="3500">
        <v>0.8</v>
      </c>
      <c r="F24" s="2500" t="s">
        <v>2353</v>
      </c>
      <c r="G24" s="2500"/>
    </row>
    <row r="25" spans="1:13" ht="19.5" customHeight="1">
      <c r="A25" s="4881"/>
      <c r="B25" s="4869"/>
      <c r="C25" s="2808" t="s">
        <v>2354</v>
      </c>
      <c r="D25" s="2808"/>
      <c r="E25" s="3500">
        <v>0.8</v>
      </c>
      <c r="F25" s="2500"/>
      <c r="G25" s="2500"/>
    </row>
    <row r="26" spans="1:13" ht="19.5" customHeight="1">
      <c r="A26" s="4881"/>
      <c r="B26" s="4869"/>
      <c r="C26" s="2811" t="s">
        <v>3294</v>
      </c>
      <c r="D26" s="2811"/>
      <c r="E26" s="3500">
        <v>0.43</v>
      </c>
      <c r="F26" s="2500"/>
      <c r="G26" s="2500"/>
    </row>
    <row r="27" spans="1:13" ht="19.5" customHeight="1" thickBot="1">
      <c r="A27" s="4882"/>
      <c r="B27" s="4874"/>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75" t="s">
        <v>2536</v>
      </c>
      <c r="B29" s="4878" t="s">
        <v>2517</v>
      </c>
      <c r="C29" s="2498" t="s">
        <v>2357</v>
      </c>
      <c r="D29" s="2499"/>
      <c r="E29" s="3499">
        <v>1</v>
      </c>
      <c r="F29" s="2500" t="s">
        <v>2358</v>
      </c>
      <c r="G29" s="2500"/>
    </row>
    <row r="30" spans="1:13" ht="19.5" customHeight="1">
      <c r="A30" s="4876"/>
      <c r="B30" s="4872"/>
      <c r="C30" s="2501" t="s">
        <v>2359</v>
      </c>
      <c r="D30" s="2502"/>
      <c r="E30" s="3500">
        <v>1</v>
      </c>
      <c r="F30" s="2500" t="s">
        <v>2360</v>
      </c>
      <c r="G30" s="2500"/>
    </row>
    <row r="31" spans="1:13" ht="19.5" customHeight="1">
      <c r="A31" s="4876"/>
      <c r="B31" s="4872"/>
      <c r="C31" s="2501" t="s">
        <v>2361</v>
      </c>
      <c r="D31" s="2502"/>
      <c r="E31" s="3500">
        <v>0.8</v>
      </c>
      <c r="F31" s="2500" t="s">
        <v>2362</v>
      </c>
      <c r="G31" s="2500"/>
    </row>
    <row r="32" spans="1:13" ht="19.5" customHeight="1">
      <c r="A32" s="4876"/>
      <c r="B32" s="4872"/>
      <c r="C32" s="2501" t="s">
        <v>2363</v>
      </c>
      <c r="D32" s="2502"/>
      <c r="E32" s="3500">
        <v>0.8</v>
      </c>
      <c r="F32" s="2500" t="s">
        <v>2364</v>
      </c>
      <c r="G32" s="2500"/>
    </row>
    <row r="33" spans="1:7" ht="19.5" customHeight="1">
      <c r="A33" s="4876"/>
      <c r="B33" s="4872"/>
      <c r="C33" s="2501" t="s">
        <v>2365</v>
      </c>
      <c r="D33" s="2502"/>
      <c r="E33" s="3500">
        <v>0.8</v>
      </c>
      <c r="F33" s="2500" t="s">
        <v>2366</v>
      </c>
      <c r="G33" s="2500"/>
    </row>
    <row r="34" spans="1:7" ht="19.5" customHeight="1">
      <c r="A34" s="4876"/>
      <c r="B34" s="4872"/>
      <c r="C34" s="2501" t="s">
        <v>2367</v>
      </c>
      <c r="D34" s="2502"/>
      <c r="E34" s="3500">
        <v>0.7</v>
      </c>
      <c r="F34" s="2500" t="s">
        <v>2368</v>
      </c>
      <c r="G34" s="2500"/>
    </row>
    <row r="35" spans="1:7" ht="19.5" customHeight="1">
      <c r="A35" s="4876"/>
      <c r="B35" s="4872"/>
      <c r="C35" s="2501" t="s">
        <v>2369</v>
      </c>
      <c r="D35" s="2502"/>
      <c r="E35" s="3500">
        <v>0.8</v>
      </c>
      <c r="F35" s="2500" t="s">
        <v>2370</v>
      </c>
      <c r="G35" s="2500"/>
    </row>
    <row r="36" spans="1:7" ht="19.5" customHeight="1">
      <c r="A36" s="4876"/>
      <c r="B36" s="4872"/>
      <c r="C36" s="2501" t="s">
        <v>2371</v>
      </c>
      <c r="D36" s="2502"/>
      <c r="E36" s="3500">
        <v>0.6</v>
      </c>
      <c r="F36" s="2500" t="s">
        <v>2372</v>
      </c>
      <c r="G36" s="2500"/>
    </row>
    <row r="37" spans="1:7" ht="19.5" customHeight="1">
      <c r="A37" s="4876"/>
      <c r="B37" s="4872"/>
      <c r="C37" s="2501" t="s">
        <v>2373</v>
      </c>
      <c r="D37" s="2502"/>
      <c r="E37" s="3500">
        <v>0.2</v>
      </c>
      <c r="F37" s="2500" t="s">
        <v>2374</v>
      </c>
      <c r="G37" s="2500"/>
    </row>
    <row r="38" spans="1:7" ht="19.5" customHeight="1">
      <c r="A38" s="4876"/>
      <c r="B38" s="4872"/>
      <c r="C38" s="2501" t="s">
        <v>2375</v>
      </c>
      <c r="D38" s="2502"/>
      <c r="E38" s="3500">
        <v>0.2</v>
      </c>
      <c r="F38" s="2500" t="s">
        <v>2376</v>
      </c>
      <c r="G38" s="2500"/>
    </row>
    <row r="39" spans="1:7" ht="19.5" customHeight="1">
      <c r="A39" s="4876"/>
      <c r="B39" s="4870" t="s">
        <v>2537</v>
      </c>
      <c r="C39" s="2501" t="s">
        <v>2377</v>
      </c>
      <c r="D39" s="2502"/>
      <c r="E39" s="3500">
        <v>0.6</v>
      </c>
      <c r="F39" s="2500" t="s">
        <v>2378</v>
      </c>
      <c r="G39" s="2500"/>
    </row>
    <row r="40" spans="1:7" ht="19.5" customHeight="1">
      <c r="A40" s="4876"/>
      <c r="B40" s="4872"/>
      <c r="C40" s="2501" t="s">
        <v>2379</v>
      </c>
      <c r="D40" s="2502"/>
      <c r="E40" s="3500">
        <v>0.6</v>
      </c>
      <c r="F40" s="2500" t="s">
        <v>2380</v>
      </c>
      <c r="G40" s="2500"/>
    </row>
    <row r="41" spans="1:7" ht="19.5" customHeight="1" thickBot="1">
      <c r="A41" s="4877"/>
      <c r="B41" s="4879"/>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80" t="s">
        <v>2515</v>
      </c>
      <c r="B43" s="4878" t="s">
        <v>2539</v>
      </c>
      <c r="C43" s="2498" t="s">
        <v>2384</v>
      </c>
      <c r="D43" s="2499"/>
      <c r="E43" s="3499">
        <v>1</v>
      </c>
      <c r="F43" s="2500" t="s">
        <v>2385</v>
      </c>
      <c r="G43" s="2500"/>
    </row>
    <row r="44" spans="1:7" ht="19.5" customHeight="1">
      <c r="A44" s="4881"/>
      <c r="B44" s="4872"/>
      <c r="C44" s="2501" t="s">
        <v>2386</v>
      </c>
      <c r="D44" s="2502"/>
      <c r="E44" s="3500">
        <v>1</v>
      </c>
      <c r="F44" s="2500" t="s">
        <v>2387</v>
      </c>
      <c r="G44" s="2500"/>
    </row>
    <row r="45" spans="1:7" ht="19.5" customHeight="1">
      <c r="A45" s="4881"/>
      <c r="B45" s="4871"/>
      <c r="C45" s="2501" t="s">
        <v>2388</v>
      </c>
      <c r="D45" s="2502"/>
      <c r="E45" s="3500">
        <v>1.5</v>
      </c>
      <c r="F45" s="2500" t="s">
        <v>2389</v>
      </c>
      <c r="G45" s="2500"/>
    </row>
    <row r="46" spans="1:7" ht="19.5" customHeight="1">
      <c r="A46" s="4881"/>
      <c r="B46" s="2509" t="s">
        <v>2540</v>
      </c>
      <c r="C46" s="2501" t="s">
        <v>2541</v>
      </c>
      <c r="D46" s="2502"/>
      <c r="E46" s="3500">
        <v>2</v>
      </c>
      <c r="F46" s="2500" t="s">
        <v>2390</v>
      </c>
      <c r="G46" s="2500"/>
    </row>
    <row r="47" spans="1:7" ht="19.5" customHeight="1">
      <c r="A47" s="4881"/>
      <c r="B47" s="4870" t="s">
        <v>2542</v>
      </c>
      <c r="C47" s="2501" t="s">
        <v>2391</v>
      </c>
      <c r="D47" s="2502"/>
      <c r="E47" s="3500">
        <v>1</v>
      </c>
      <c r="F47" s="2500" t="s">
        <v>2392</v>
      </c>
      <c r="G47" s="2500"/>
    </row>
    <row r="48" spans="1:7" ht="19.5" customHeight="1">
      <c r="A48" s="4881"/>
      <c r="B48" s="4872"/>
      <c r="C48" s="2501" t="s">
        <v>2393</v>
      </c>
      <c r="D48" s="2502"/>
      <c r="E48" s="3500">
        <v>1</v>
      </c>
      <c r="F48" s="2500" t="s">
        <v>2394</v>
      </c>
      <c r="G48" s="2500"/>
    </row>
    <row r="49" spans="1:7" ht="19.5" customHeight="1">
      <c r="A49" s="4881"/>
      <c r="B49" s="4872"/>
      <c r="C49" s="2501" t="s">
        <v>2395</v>
      </c>
      <c r="D49" s="2502"/>
      <c r="E49" s="3500">
        <v>1</v>
      </c>
      <c r="F49" s="2500" t="s">
        <v>2396</v>
      </c>
      <c r="G49" s="2500"/>
    </row>
    <row r="50" spans="1:7" ht="19.5" customHeight="1">
      <c r="A50" s="4881"/>
      <c r="B50" s="4872"/>
      <c r="C50" s="2501" t="s">
        <v>2397</v>
      </c>
      <c r="D50" s="2502"/>
      <c r="E50" s="3500">
        <v>1</v>
      </c>
      <c r="F50" s="2500" t="s">
        <v>2398</v>
      </c>
      <c r="G50" s="2500"/>
    </row>
    <row r="51" spans="1:7" ht="19.5" customHeight="1">
      <c r="A51" s="4881"/>
      <c r="B51" s="4872"/>
      <c r="C51" s="2501" t="s">
        <v>2399</v>
      </c>
      <c r="D51" s="2502"/>
      <c r="E51" s="3500">
        <v>1</v>
      </c>
      <c r="F51" s="2500" t="s">
        <v>2400</v>
      </c>
      <c r="G51" s="2500"/>
    </row>
    <row r="52" spans="1:7" ht="19.5" customHeight="1">
      <c r="A52" s="4881"/>
      <c r="B52" s="4872"/>
      <c r="C52" s="2501" t="s">
        <v>2401</v>
      </c>
      <c r="D52" s="2502"/>
      <c r="E52" s="3500">
        <v>1</v>
      </c>
      <c r="F52" s="2500" t="s">
        <v>2402</v>
      </c>
      <c r="G52" s="2500"/>
    </row>
    <row r="53" spans="1:7" ht="19.5" customHeight="1" thickBot="1">
      <c r="A53" s="4882"/>
      <c r="B53" s="4879"/>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70" t="s">
        <v>2556</v>
      </c>
      <c r="C75" s="2489" t="s">
        <v>2557</v>
      </c>
      <c r="D75" s="2489" t="s">
        <v>2558</v>
      </c>
      <c r="E75" s="3505">
        <v>0.2</v>
      </c>
      <c r="F75" s="3506">
        <v>25</v>
      </c>
    </row>
    <row r="76" spans="1:7" ht="24">
      <c r="A76" s="2509">
        <v>2</v>
      </c>
      <c r="B76" s="4872"/>
      <c r="C76" s="2489" t="s">
        <v>2559</v>
      </c>
      <c r="D76" s="2489" t="s">
        <v>2560</v>
      </c>
      <c r="E76" s="3505">
        <v>0.2</v>
      </c>
      <c r="F76" s="3506">
        <v>25</v>
      </c>
    </row>
    <row r="77" spans="1:7" ht="24">
      <c r="A77" s="2509">
        <v>3</v>
      </c>
      <c r="B77" s="4872"/>
      <c r="C77" s="2489" t="s">
        <v>2561</v>
      </c>
      <c r="D77" s="2489" t="s">
        <v>2562</v>
      </c>
      <c r="E77" s="3505">
        <v>0.2</v>
      </c>
      <c r="F77" s="3506">
        <v>25</v>
      </c>
    </row>
    <row r="78" spans="1:7" ht="13.5">
      <c r="A78" s="2509">
        <v>4</v>
      </c>
      <c r="B78" s="4872"/>
      <c r="C78" s="2489" t="s">
        <v>2563</v>
      </c>
      <c r="D78" s="2489" t="s">
        <v>2564</v>
      </c>
      <c r="E78" s="3505">
        <v>0.15</v>
      </c>
      <c r="F78" s="3506">
        <v>20</v>
      </c>
    </row>
    <row r="79" spans="1:7" ht="24">
      <c r="A79" s="2509">
        <v>5</v>
      </c>
      <c r="B79" s="4872"/>
      <c r="C79" s="2489" t="s">
        <v>2565</v>
      </c>
      <c r="D79" s="2489" t="s">
        <v>2566</v>
      </c>
      <c r="E79" s="3505">
        <v>0.15</v>
      </c>
      <c r="F79" s="3506">
        <v>20</v>
      </c>
    </row>
    <row r="80" spans="1:7" ht="24">
      <c r="A80" s="2509">
        <v>6</v>
      </c>
      <c r="B80" s="4872"/>
      <c r="C80" s="2489" t="s">
        <v>2567</v>
      </c>
      <c r="D80" s="2489" t="s">
        <v>2568</v>
      </c>
      <c r="E80" s="3505">
        <v>0.15</v>
      </c>
      <c r="F80" s="3506">
        <v>20</v>
      </c>
    </row>
    <row r="81" spans="1:6" ht="24">
      <c r="A81" s="2509">
        <v>7</v>
      </c>
      <c r="B81" s="4872"/>
      <c r="C81" s="2489" t="s">
        <v>2569</v>
      </c>
      <c r="D81" s="2489" t="s">
        <v>2570</v>
      </c>
      <c r="E81" s="3505">
        <v>0.15</v>
      </c>
      <c r="F81" s="3506">
        <v>20</v>
      </c>
    </row>
    <row r="82" spans="1:6" ht="24">
      <c r="A82" s="2509">
        <v>8</v>
      </c>
      <c r="B82" s="4872"/>
      <c r="C82" s="2489" t="s">
        <v>2571</v>
      </c>
      <c r="D82" s="2489" t="s">
        <v>2572</v>
      </c>
      <c r="E82" s="3505">
        <v>0.1</v>
      </c>
      <c r="F82" s="3506">
        <v>15</v>
      </c>
    </row>
    <row r="83" spans="1:6" ht="24">
      <c r="A83" s="2509">
        <v>9</v>
      </c>
      <c r="B83" s="4872"/>
      <c r="C83" s="2489" t="s">
        <v>2573</v>
      </c>
      <c r="D83" s="2489" t="s">
        <v>2574</v>
      </c>
      <c r="E83" s="3505">
        <v>0.1</v>
      </c>
      <c r="F83" s="3506">
        <v>15</v>
      </c>
    </row>
    <row r="84" spans="1:6" ht="24">
      <c r="A84" s="2509">
        <v>10</v>
      </c>
      <c r="B84" s="4872"/>
      <c r="C84" s="2489" t="s">
        <v>2575</v>
      </c>
      <c r="D84" s="2489" t="s">
        <v>2576</v>
      </c>
      <c r="E84" s="3505">
        <v>0.1</v>
      </c>
      <c r="F84" s="3506">
        <v>15</v>
      </c>
    </row>
    <row r="85" spans="1:6" ht="24">
      <c r="A85" s="2509">
        <v>11</v>
      </c>
      <c r="B85" s="4872"/>
      <c r="C85" s="2489" t="s">
        <v>2577</v>
      </c>
      <c r="D85" s="2489" t="s">
        <v>2578</v>
      </c>
      <c r="E85" s="3505">
        <v>0.1</v>
      </c>
      <c r="F85" s="3506">
        <v>15</v>
      </c>
    </row>
    <row r="86" spans="1:6" ht="24">
      <c r="A86" s="2509">
        <v>12</v>
      </c>
      <c r="B86" s="4872"/>
      <c r="C86" s="2489" t="s">
        <v>2579</v>
      </c>
      <c r="D86" s="2489" t="s">
        <v>2580</v>
      </c>
      <c r="E86" s="3505">
        <v>0.1</v>
      </c>
      <c r="F86" s="3506">
        <v>15</v>
      </c>
    </row>
    <row r="87" spans="1:6" ht="13.5">
      <c r="A87" s="2509">
        <v>13</v>
      </c>
      <c r="B87" s="4872"/>
      <c r="C87" s="2489" t="s">
        <v>2581</v>
      </c>
      <c r="D87" s="2489" t="s">
        <v>2582</v>
      </c>
      <c r="E87" s="3505">
        <v>0.1</v>
      </c>
      <c r="F87" s="3506">
        <v>15</v>
      </c>
    </row>
    <row r="88" spans="1:6" ht="13.5">
      <c r="A88" s="2509">
        <v>14</v>
      </c>
      <c r="B88" s="4872"/>
      <c r="C88" s="2489" t="s">
        <v>2583</v>
      </c>
      <c r="D88" s="2489" t="s">
        <v>2584</v>
      </c>
      <c r="E88" s="3505">
        <v>0.1</v>
      </c>
      <c r="F88" s="3506">
        <v>15</v>
      </c>
    </row>
    <row r="89" spans="1:6" ht="13.5">
      <c r="A89" s="2509">
        <v>15</v>
      </c>
      <c r="B89" s="4872"/>
      <c r="C89" s="2489" t="s">
        <v>2585</v>
      </c>
      <c r="D89" s="2489" t="s">
        <v>2586</v>
      </c>
      <c r="E89" s="3505">
        <v>0.1</v>
      </c>
      <c r="F89" s="3506">
        <v>15</v>
      </c>
    </row>
    <row r="90" spans="1:6" ht="24">
      <c r="A90" s="2509">
        <v>16</v>
      </c>
      <c r="B90" s="4872"/>
      <c r="C90" s="2489" t="s">
        <v>2587</v>
      </c>
      <c r="D90" s="2489" t="s">
        <v>2588</v>
      </c>
      <c r="E90" s="3505">
        <v>0.1</v>
      </c>
      <c r="F90" s="3506">
        <v>15</v>
      </c>
    </row>
    <row r="91" spans="1:6" ht="24">
      <c r="A91" s="2509">
        <v>17</v>
      </c>
      <c r="B91" s="4871"/>
      <c r="C91" s="2489" t="s">
        <v>2589</v>
      </c>
      <c r="D91" s="2489" t="s">
        <v>2590</v>
      </c>
      <c r="E91" s="3505">
        <v>0.1</v>
      </c>
      <c r="F91" s="3506">
        <v>15</v>
      </c>
    </row>
    <row r="92" spans="1:6" ht="13.5">
      <c r="A92" s="2509">
        <v>18</v>
      </c>
      <c r="B92" s="4870" t="s">
        <v>2591</v>
      </c>
      <c r="C92" s="2489" t="s">
        <v>2592</v>
      </c>
      <c r="D92" s="2489" t="s">
        <v>2593</v>
      </c>
      <c r="E92" s="3505">
        <v>0.2</v>
      </c>
      <c r="F92" s="3506">
        <v>25</v>
      </c>
    </row>
    <row r="93" spans="1:6" ht="24">
      <c r="A93" s="2509">
        <v>19</v>
      </c>
      <c r="B93" s="4872"/>
      <c r="C93" s="2489" t="s">
        <v>2594</v>
      </c>
      <c r="D93" s="2489" t="s">
        <v>2595</v>
      </c>
      <c r="E93" s="3505">
        <v>0.2</v>
      </c>
      <c r="F93" s="3506">
        <v>25</v>
      </c>
    </row>
    <row r="94" spans="1:6" ht="13.5">
      <c r="A94" s="2509">
        <v>20</v>
      </c>
      <c r="B94" s="4872"/>
      <c r="C94" s="2489" t="s">
        <v>2596</v>
      </c>
      <c r="D94" s="2489" t="s">
        <v>2597</v>
      </c>
      <c r="E94" s="3505">
        <v>0.15</v>
      </c>
      <c r="F94" s="3506">
        <v>20</v>
      </c>
    </row>
    <row r="95" spans="1:6" ht="13.5">
      <c r="A95" s="2509">
        <v>21</v>
      </c>
      <c r="B95" s="4872"/>
      <c r="C95" s="2489" t="s">
        <v>2598</v>
      </c>
      <c r="D95" s="2489" t="s">
        <v>2599</v>
      </c>
      <c r="E95" s="3505">
        <v>0.15</v>
      </c>
      <c r="F95" s="3506">
        <v>20</v>
      </c>
    </row>
    <row r="96" spans="1:6" ht="13.5">
      <c r="A96" s="2509">
        <v>22</v>
      </c>
      <c r="B96" s="4872"/>
      <c r="C96" s="2489" t="s">
        <v>2600</v>
      </c>
      <c r="D96" s="2489" t="s">
        <v>2601</v>
      </c>
      <c r="E96" s="3505">
        <v>0.15</v>
      </c>
      <c r="F96" s="3506">
        <v>20</v>
      </c>
    </row>
    <row r="97" spans="1:6" ht="36">
      <c r="A97" s="2509">
        <v>23</v>
      </c>
      <c r="B97" s="4872"/>
      <c r="C97" s="2489" t="s">
        <v>2602</v>
      </c>
      <c r="D97" s="2489" t="s">
        <v>2603</v>
      </c>
      <c r="E97" s="3505">
        <v>0.15</v>
      </c>
      <c r="F97" s="3506">
        <v>20</v>
      </c>
    </row>
    <row r="98" spans="1:6" ht="13.5">
      <c r="A98" s="2509">
        <v>24</v>
      </c>
      <c r="B98" s="4872"/>
      <c r="C98" s="2489" t="s">
        <v>2604</v>
      </c>
      <c r="D98" s="2489" t="s">
        <v>2605</v>
      </c>
      <c r="E98" s="3505">
        <v>0.1</v>
      </c>
      <c r="F98" s="3506">
        <v>15</v>
      </c>
    </row>
    <row r="99" spans="1:6" ht="13.5">
      <c r="A99" s="2509">
        <v>25</v>
      </c>
      <c r="B99" s="4872"/>
      <c r="C99" s="2489" t="s">
        <v>2606</v>
      </c>
      <c r="D99" s="2489" t="s">
        <v>2607</v>
      </c>
      <c r="E99" s="3505">
        <v>0.1</v>
      </c>
      <c r="F99" s="3506">
        <v>15</v>
      </c>
    </row>
    <row r="100" spans="1:6" ht="24">
      <c r="A100" s="2509">
        <v>26</v>
      </c>
      <c r="B100" s="4872"/>
      <c r="C100" s="2489" t="s">
        <v>2608</v>
      </c>
      <c r="D100" s="2489" t="s">
        <v>2609</v>
      </c>
      <c r="E100" s="3505">
        <v>0.1</v>
      </c>
      <c r="F100" s="3506">
        <v>15</v>
      </c>
    </row>
    <row r="101" spans="1:6" ht="24">
      <c r="A101" s="2509">
        <v>27</v>
      </c>
      <c r="B101" s="4872"/>
      <c r="C101" s="2489" t="s">
        <v>2610</v>
      </c>
      <c r="D101" s="2489" t="s">
        <v>2611</v>
      </c>
      <c r="E101" s="3505">
        <v>0.1</v>
      </c>
      <c r="F101" s="3506">
        <v>15</v>
      </c>
    </row>
    <row r="102" spans="1:6" ht="13.5">
      <c r="A102" s="2509">
        <v>28</v>
      </c>
      <c r="B102" s="4872"/>
      <c r="C102" s="2489" t="s">
        <v>2612</v>
      </c>
      <c r="D102" s="2489" t="s">
        <v>2613</v>
      </c>
      <c r="E102" s="3505">
        <v>0.1</v>
      </c>
      <c r="F102" s="3506">
        <v>15</v>
      </c>
    </row>
    <row r="103" spans="1:6" ht="13.5">
      <c r="A103" s="2509">
        <v>29</v>
      </c>
      <c r="B103" s="4872"/>
      <c r="C103" s="2489" t="s">
        <v>2614</v>
      </c>
      <c r="D103" s="2489" t="s">
        <v>2615</v>
      </c>
      <c r="E103" s="3505">
        <v>0.1</v>
      </c>
      <c r="F103" s="3506">
        <v>15</v>
      </c>
    </row>
    <row r="104" spans="1:6" ht="13.5">
      <c r="A104" s="2509">
        <v>30</v>
      </c>
      <c r="B104" s="4872"/>
      <c r="C104" s="2489" t="s">
        <v>2616</v>
      </c>
      <c r="D104" s="2489" t="s">
        <v>2617</v>
      </c>
      <c r="E104" s="3505">
        <v>0.1</v>
      </c>
      <c r="F104" s="3506">
        <v>15</v>
      </c>
    </row>
    <row r="105" spans="1:6" ht="24">
      <c r="A105" s="2509">
        <v>31</v>
      </c>
      <c r="B105" s="4872"/>
      <c r="C105" s="2489" t="s">
        <v>2618</v>
      </c>
      <c r="D105" s="2489" t="s">
        <v>2619</v>
      </c>
      <c r="E105" s="3505">
        <v>0.1</v>
      </c>
      <c r="F105" s="3506">
        <v>15</v>
      </c>
    </row>
    <row r="106" spans="1:6" ht="24">
      <c r="A106" s="2509">
        <v>32</v>
      </c>
      <c r="B106" s="4872"/>
      <c r="C106" s="2489" t="s">
        <v>2620</v>
      </c>
      <c r="D106" s="2489" t="s">
        <v>2621</v>
      </c>
      <c r="E106" s="3505">
        <v>0.1</v>
      </c>
      <c r="F106" s="3506">
        <v>15</v>
      </c>
    </row>
    <row r="107" spans="1:6" ht="24">
      <c r="A107" s="2509">
        <v>33</v>
      </c>
      <c r="B107" s="4872"/>
      <c r="C107" s="2489" t="s">
        <v>2622</v>
      </c>
      <c r="D107" s="2489" t="s">
        <v>2623</v>
      </c>
      <c r="E107" s="3505">
        <v>0.1</v>
      </c>
      <c r="F107" s="3506">
        <v>15</v>
      </c>
    </row>
    <row r="108" spans="1:6" ht="24">
      <c r="A108" s="2509">
        <v>34</v>
      </c>
      <c r="B108" s="4871"/>
      <c r="C108" s="2489" t="s">
        <v>2624</v>
      </c>
      <c r="D108" s="2489" t="s">
        <v>2625</v>
      </c>
      <c r="E108" s="3505">
        <v>0.1</v>
      </c>
      <c r="F108" s="3506">
        <v>15</v>
      </c>
    </row>
    <row r="109" spans="1:6" ht="24">
      <c r="A109" s="2509">
        <v>35</v>
      </c>
      <c r="B109" s="4870" t="s">
        <v>2626</v>
      </c>
      <c r="C109" s="2509" t="s">
        <v>2627</v>
      </c>
      <c r="D109" s="2489" t="s">
        <v>2628</v>
      </c>
      <c r="E109" s="3505">
        <v>0.15</v>
      </c>
      <c r="F109" s="3506">
        <v>20</v>
      </c>
    </row>
    <row r="110" spans="1:6" ht="13.5">
      <c r="A110" s="2509">
        <v>36</v>
      </c>
      <c r="B110" s="4872"/>
      <c r="C110" s="2509" t="s">
        <v>2629</v>
      </c>
      <c r="D110" s="2489" t="s">
        <v>2630</v>
      </c>
      <c r="E110" s="3505">
        <v>0.15</v>
      </c>
      <c r="F110" s="3506">
        <v>20</v>
      </c>
    </row>
    <row r="111" spans="1:6" ht="13.5">
      <c r="A111" s="2509">
        <v>37</v>
      </c>
      <c r="B111" s="4872"/>
      <c r="C111" s="2509" t="s">
        <v>2631</v>
      </c>
      <c r="D111" s="2489" t="s">
        <v>2632</v>
      </c>
      <c r="E111" s="3505">
        <v>0.15</v>
      </c>
      <c r="F111" s="3506">
        <v>20</v>
      </c>
    </row>
    <row r="112" spans="1:6" ht="13.5">
      <c r="A112" s="2509">
        <v>38</v>
      </c>
      <c r="B112" s="4872"/>
      <c r="C112" s="2509" t="s">
        <v>2633</v>
      </c>
      <c r="D112" s="2489" t="s">
        <v>2634</v>
      </c>
      <c r="E112" s="3505">
        <v>0.1</v>
      </c>
      <c r="F112" s="3506">
        <v>15</v>
      </c>
    </row>
    <row r="113" spans="1:6" ht="24">
      <c r="A113" s="2509">
        <v>39</v>
      </c>
      <c r="B113" s="4872"/>
      <c r="C113" s="2509" t="s">
        <v>2635</v>
      </c>
      <c r="D113" s="2489" t="s">
        <v>2636</v>
      </c>
      <c r="E113" s="3505">
        <v>0.1</v>
      </c>
      <c r="F113" s="3506">
        <v>15</v>
      </c>
    </row>
    <row r="114" spans="1:6" ht="24">
      <c r="A114" s="2509">
        <v>40</v>
      </c>
      <c r="B114" s="4871"/>
      <c r="C114" s="2509" t="s">
        <v>2637</v>
      </c>
      <c r="D114" s="2489" t="s">
        <v>2638</v>
      </c>
      <c r="E114" s="3505">
        <v>0.1</v>
      </c>
      <c r="F114" s="3506">
        <v>15</v>
      </c>
    </row>
    <row r="115" spans="1:6" ht="13.5">
      <c r="A115" s="2509">
        <v>41</v>
      </c>
      <c r="B115" s="4869" t="s">
        <v>2639</v>
      </c>
      <c r="C115" s="2509" t="s">
        <v>2640</v>
      </c>
      <c r="D115" s="2489" t="s">
        <v>2641</v>
      </c>
      <c r="E115" s="3505">
        <v>0.1</v>
      </c>
      <c r="F115" s="3506">
        <v>15</v>
      </c>
    </row>
    <row r="116" spans="1:6" ht="13.5">
      <c r="A116" s="2509">
        <v>42</v>
      </c>
      <c r="B116" s="4869"/>
      <c r="C116" s="2509" t="s">
        <v>2642</v>
      </c>
      <c r="D116" s="2489" t="s">
        <v>2643</v>
      </c>
      <c r="E116" s="3505">
        <v>0.1</v>
      </c>
      <c r="F116" s="3506">
        <v>15</v>
      </c>
    </row>
    <row r="117" spans="1:6" ht="24">
      <c r="A117" s="2509">
        <v>43</v>
      </c>
      <c r="B117" s="4869"/>
      <c r="C117" s="2509" t="s">
        <v>2644</v>
      </c>
      <c r="D117" s="2489" t="s">
        <v>2645</v>
      </c>
      <c r="E117" s="3505">
        <v>0.1</v>
      </c>
      <c r="F117" s="3506">
        <v>15</v>
      </c>
    </row>
    <row r="118" spans="1:6" ht="13.5">
      <c r="A118" s="2509">
        <v>44</v>
      </c>
      <c r="B118" s="4870" t="s">
        <v>2646</v>
      </c>
      <c r="C118" s="2509" t="s">
        <v>2647</v>
      </c>
      <c r="D118" s="2489" t="s">
        <v>2648</v>
      </c>
      <c r="E118" s="3505">
        <v>0.1</v>
      </c>
      <c r="F118" s="3506">
        <v>15</v>
      </c>
    </row>
    <row r="119" spans="1:6" ht="24">
      <c r="A119" s="2509">
        <v>45</v>
      </c>
      <c r="B119" s="4871"/>
      <c r="C119" s="2489" t="s">
        <v>2649</v>
      </c>
      <c r="D119" s="2489" t="s">
        <v>2650</v>
      </c>
      <c r="E119" s="3505">
        <v>0.1</v>
      </c>
      <c r="F119" s="3506">
        <v>15</v>
      </c>
    </row>
    <row r="120" spans="1:6" ht="24">
      <c r="A120" s="2509">
        <v>46</v>
      </c>
      <c r="B120" s="4870" t="s">
        <v>2651</v>
      </c>
      <c r="C120" s="2509" t="s">
        <v>2652</v>
      </c>
      <c r="D120" s="2489" t="s">
        <v>2653</v>
      </c>
      <c r="E120" s="3505">
        <v>0.1</v>
      </c>
      <c r="F120" s="3506">
        <v>15</v>
      </c>
    </row>
    <row r="121" spans="1:6" ht="24">
      <c r="A121" s="2509">
        <v>47</v>
      </c>
      <c r="B121" s="4871"/>
      <c r="C121" s="2509" t="s">
        <v>2654</v>
      </c>
      <c r="D121" s="2489" t="s">
        <v>2655</v>
      </c>
      <c r="E121" s="3505">
        <v>0.1</v>
      </c>
      <c r="F121" s="3506">
        <v>15</v>
      </c>
    </row>
    <row r="122" spans="1:6" ht="13.5">
      <c r="A122" s="2509">
        <v>48</v>
      </c>
      <c r="B122" s="4870" t="s">
        <v>2656</v>
      </c>
      <c r="C122" s="2509" t="s">
        <v>2657</v>
      </c>
      <c r="D122" s="2489" t="s">
        <v>2658</v>
      </c>
      <c r="E122" s="3505">
        <v>0.1</v>
      </c>
      <c r="F122" s="3506">
        <v>15</v>
      </c>
    </row>
    <row r="123" spans="1:6" ht="13.5">
      <c r="A123" s="2509">
        <v>49</v>
      </c>
      <c r="B123" s="4871"/>
      <c r="C123" s="2509" t="s">
        <v>2659</v>
      </c>
      <c r="D123" s="2489" t="s">
        <v>2660</v>
      </c>
      <c r="E123" s="3505">
        <v>0.1</v>
      </c>
      <c r="F123" s="3506">
        <v>15</v>
      </c>
    </row>
    <row r="124" spans="1:6" ht="24">
      <c r="A124" s="2509">
        <v>50</v>
      </c>
      <c r="B124" s="4869" t="s">
        <v>2661</v>
      </c>
      <c r="C124" s="2509" t="s">
        <v>2662</v>
      </c>
      <c r="D124" s="2489" t="s">
        <v>2663</v>
      </c>
      <c r="E124" s="3505">
        <v>0.1</v>
      </c>
      <c r="F124" s="3506">
        <v>15</v>
      </c>
    </row>
    <row r="125" spans="1:6" ht="24">
      <c r="A125" s="2509">
        <v>51</v>
      </c>
      <c r="B125" s="4869"/>
      <c r="C125" s="2509" t="s">
        <v>2664</v>
      </c>
      <c r="D125" s="2489" t="s">
        <v>2665</v>
      </c>
      <c r="E125" s="3505">
        <v>0.1</v>
      </c>
      <c r="F125" s="3506">
        <v>15</v>
      </c>
    </row>
    <row r="126" spans="1:6" ht="24">
      <c r="A126" s="2509">
        <v>52</v>
      </c>
      <c r="B126" s="4869" t="s">
        <v>2666</v>
      </c>
      <c r="C126" s="2509" t="s">
        <v>2667</v>
      </c>
      <c r="D126" s="2489" t="s">
        <v>2668</v>
      </c>
      <c r="E126" s="3505">
        <v>0.1</v>
      </c>
      <c r="F126" s="3506">
        <v>15</v>
      </c>
    </row>
    <row r="127" spans="1:6" ht="24">
      <c r="A127" s="2509">
        <v>53</v>
      </c>
      <c r="B127" s="4869"/>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9" t="s">
        <v>2674</v>
      </c>
      <c r="C129" s="2509" t="s">
        <v>2675</v>
      </c>
      <c r="D129" s="2489" t="s">
        <v>2676</v>
      </c>
      <c r="E129" s="3505">
        <v>0.1</v>
      </c>
      <c r="F129" s="3506">
        <v>15</v>
      </c>
    </row>
    <row r="130" spans="1:6" ht="13.5">
      <c r="A130" s="2509">
        <v>56</v>
      </c>
      <c r="B130" s="4869"/>
      <c r="C130" s="2509" t="s">
        <v>2677</v>
      </c>
      <c r="D130" s="2489" t="s">
        <v>2678</v>
      </c>
      <c r="E130" s="3505">
        <v>0.1</v>
      </c>
      <c r="F130" s="3506">
        <v>15</v>
      </c>
    </row>
    <row r="131" spans="1:6" ht="24">
      <c r="A131" s="2509">
        <v>57</v>
      </c>
      <c r="B131" s="4869"/>
      <c r="C131" s="2509" t="s">
        <v>2679</v>
      </c>
      <c r="D131" s="2489" t="s">
        <v>2680</v>
      </c>
      <c r="E131" s="3505">
        <v>0.1</v>
      </c>
      <c r="F131" s="3506">
        <v>15</v>
      </c>
    </row>
    <row r="132" spans="1:6" ht="24">
      <c r="A132" s="2509">
        <v>58</v>
      </c>
      <c r="B132" s="4869" t="s">
        <v>2681</v>
      </c>
      <c r="C132" s="2509" t="s">
        <v>2682</v>
      </c>
      <c r="D132" s="2489" t="s">
        <v>2683</v>
      </c>
      <c r="E132" s="3505">
        <v>0.1</v>
      </c>
      <c r="F132" s="3506">
        <v>15</v>
      </c>
    </row>
    <row r="133" spans="1:6" ht="13.5">
      <c r="A133" s="2509">
        <v>59</v>
      </c>
      <c r="B133" s="4869"/>
      <c r="C133" s="2509" t="s">
        <v>2684</v>
      </c>
      <c r="D133" s="2489" t="s">
        <v>2685</v>
      </c>
      <c r="E133" s="3505">
        <v>0.1</v>
      </c>
      <c r="F133" s="3506">
        <v>15</v>
      </c>
    </row>
    <row r="134" spans="1:6" ht="13.5">
      <c r="A134" s="2509">
        <v>60</v>
      </c>
      <c r="B134" s="4870" t="s">
        <v>2686</v>
      </c>
      <c r="C134" s="2509" t="s">
        <v>2687</v>
      </c>
      <c r="D134" s="2489" t="s">
        <v>2688</v>
      </c>
      <c r="E134" s="3505">
        <v>0.1</v>
      </c>
      <c r="F134" s="3506">
        <v>15</v>
      </c>
    </row>
    <row r="135" spans="1:6" ht="13.5">
      <c r="A135" s="2509">
        <v>61</v>
      </c>
      <c r="B135" s="4871"/>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9" t="s">
        <v>2694</v>
      </c>
      <c r="C137" s="2509" t="s">
        <v>2695</v>
      </c>
      <c r="D137" s="2489" t="s">
        <v>2696</v>
      </c>
      <c r="E137" s="3505">
        <v>0.1</v>
      </c>
      <c r="F137" s="3506">
        <v>15</v>
      </c>
    </row>
    <row r="138" spans="1:6" ht="13.5">
      <c r="A138" s="2509">
        <v>64</v>
      </c>
      <c r="B138" s="4869"/>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96" t="s">
        <v>92</v>
      </c>
    </row>
    <row r="43" spans="1:7" ht="13.5" customHeight="1">
      <c r="A43" s="570" t="s">
        <v>345</v>
      </c>
      <c r="B43" s="115" t="s">
        <v>420</v>
      </c>
      <c r="C43" s="138">
        <f ca="1">ROUND(IF('数据-取费表'!B22&lt;=1,C39*F22*'数据-取费表'!B21/2,C39*(POWER((1+F22),'数据-取费表'!B21/2)-1)),0)</f>
        <v>14</v>
      </c>
      <c r="D43" s="138"/>
      <c r="E43" s="138"/>
      <c r="F43" s="139"/>
      <c r="G43" s="4698"/>
    </row>
    <row r="44" spans="1:7" ht="13.5" customHeight="1">
      <c r="A44" s="570" t="s">
        <v>346</v>
      </c>
      <c r="B44" s="115" t="s">
        <v>422</v>
      </c>
      <c r="C44" s="138">
        <f ca="1">ROUND(IF('数据-取费表'!B22&lt;=1,C40*F22*'数据-取费表'!B21/2,C40*(POWER((1+F22),'数据-取费表'!B21/2)-1)),4)</f>
        <v>5.9999999999999995E-4</v>
      </c>
      <c r="D44" s="138"/>
      <c r="E44" s="138"/>
      <c r="F44" s="139"/>
      <c r="G44" s="4697"/>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83" t="s">
        <v>3086</v>
      </c>
      <c r="B1" s="4883"/>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84" t="s">
        <v>3137</v>
      </c>
      <c r="B1" s="4884"/>
      <c r="C1" s="4884"/>
      <c r="D1" s="4884"/>
      <c r="E1" s="4884"/>
      <c r="F1" s="4885"/>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4015</v>
      </c>
      <c r="F1" s="1492" t="s">
        <v>4016</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t="s">
        <v>3892</v>
      </c>
      <c r="D2" s="4306">
        <f>IF(E1="项目模式",IF(E2="——",ROUND(C50*D3/10000,0),ROUND(C50*D3/10000,0)-F2),IF(E1="单套模式",IF(E2="——",ROUND(C50*D3/10000,4),ROUND(C50*D3/10000,4)-F2)))</f>
        <v>0</v>
      </c>
      <c r="E2" s="1494" t="s">
        <v>41</v>
      </c>
      <c r="F2" s="4307"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92" t="s">
        <v>1693</v>
      </c>
      <c r="Q4" s="4893"/>
      <c r="R4" s="4896" t="s">
        <v>1689</v>
      </c>
      <c r="S4" s="4897"/>
      <c r="T4" s="4896" t="s">
        <v>1690</v>
      </c>
      <c r="U4" s="4897"/>
      <c r="V4" s="4898" t="s">
        <v>1691</v>
      </c>
      <c r="W4" s="4898"/>
      <c r="X4" s="1555"/>
      <c r="Y4" s="4900" t="s">
        <v>1693</v>
      </c>
      <c r="Z4" s="4901"/>
      <c r="AA4" s="4902" t="s">
        <v>1689</v>
      </c>
      <c r="AB4" s="4902" t="s">
        <v>1690</v>
      </c>
      <c r="AC4" s="4889" t="s">
        <v>1691</v>
      </c>
    </row>
    <row r="5" spans="1:29" ht="15">
      <c r="A5" s="245"/>
      <c r="B5" s="246"/>
      <c r="C5" s="4818" t="s">
        <v>1591</v>
      </c>
      <c r="D5" s="4819"/>
      <c r="E5" s="4822" t="s">
        <v>1592</v>
      </c>
      <c r="F5" s="4823"/>
      <c r="G5" s="4818" t="s">
        <v>1593</v>
      </c>
      <c r="H5" s="4819"/>
      <c r="I5" s="4818" t="s">
        <v>1594</v>
      </c>
      <c r="J5" s="4819"/>
      <c r="K5" s="410"/>
      <c r="L5" s="2196"/>
      <c r="M5" s="2197"/>
      <c r="N5" s="2197"/>
      <c r="O5" s="2197"/>
      <c r="P5" s="4894"/>
      <c r="Q5" s="4777"/>
      <c r="R5" s="4782"/>
      <c r="S5" s="4783"/>
      <c r="T5" s="4782"/>
      <c r="U5" s="4783"/>
      <c r="V5" s="4786"/>
      <c r="W5" s="4786"/>
      <c r="X5" s="1002"/>
      <c r="Y5" s="4797"/>
      <c r="Z5" s="4798"/>
      <c r="AA5" s="4768"/>
      <c r="AB5" s="4768"/>
      <c r="AC5" s="4890"/>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95"/>
      <c r="Q6" s="4779"/>
      <c r="R6" s="4782"/>
      <c r="S6" s="4783"/>
      <c r="T6" s="4784"/>
      <c r="U6" s="4785"/>
      <c r="V6" s="4786"/>
      <c r="W6" s="4786"/>
      <c r="X6" s="1002"/>
      <c r="Y6" s="4799"/>
      <c r="Z6" s="4800"/>
      <c r="AA6" s="4769"/>
      <c r="AB6" s="4769"/>
      <c r="AC6" s="4891"/>
    </row>
    <row r="7" spans="1:29" s="49" customFormat="1" ht="15.75" thickBot="1">
      <c r="A7" s="249" t="s">
        <v>1597</v>
      </c>
      <c r="B7" s="250"/>
      <c r="C7" s="251">
        <f>'数据-取费表'!B2</f>
        <v>46041</v>
      </c>
      <c r="D7" s="3281">
        <v>100</v>
      </c>
      <c r="E7" s="252">
        <v>46023</v>
      </c>
      <c r="F7" s="4308">
        <f>SUMIF(59:59,YEAR(E7)&amp;"-"&amp;MONTH(E7),60:60)</f>
        <v>100</v>
      </c>
      <c r="G7" s="252">
        <v>46023</v>
      </c>
      <c r="H7" s="4319">
        <f>SUMIF(59:59,YEAR(G7)&amp;"-"&amp;MONTH(G7),60:60)</f>
        <v>100</v>
      </c>
      <c r="I7" s="252">
        <v>46023</v>
      </c>
      <c r="J7" s="4319">
        <f>SUMIF(59:59,YEAR(I7)&amp;"-"&amp;MONTH(I7),60:60)</f>
        <v>100</v>
      </c>
      <c r="K7" s="411"/>
      <c r="L7" s="2198"/>
      <c r="M7" s="2199"/>
      <c r="N7" s="2199"/>
      <c r="O7" s="2199"/>
      <c r="P7" s="4899" t="s">
        <v>1598</v>
      </c>
      <c r="Q7" s="4801"/>
      <c r="R7" s="4170" t="s">
        <v>13</v>
      </c>
      <c r="S7" s="3600">
        <f t="shared" ref="S7:S15" si="0">F7</f>
        <v>100</v>
      </c>
      <c r="T7" s="4170" t="s">
        <v>13</v>
      </c>
      <c r="U7" s="3600">
        <f t="shared" ref="U7:U15" si="1">H7</f>
        <v>100</v>
      </c>
      <c r="V7" s="4170" t="s">
        <v>13</v>
      </c>
      <c r="W7" s="3600">
        <f t="shared" ref="W7:W15" si="2">J7</f>
        <v>100</v>
      </c>
      <c r="X7" s="515"/>
      <c r="Y7" s="4793" t="s">
        <v>1598</v>
      </c>
      <c r="Z7" s="4794"/>
      <c r="AA7" s="516">
        <f>D7/F7</f>
        <v>1</v>
      </c>
      <c r="AB7" s="516">
        <f>D7/H7</f>
        <v>1</v>
      </c>
      <c r="AC7" s="1556">
        <f>D7/J7</f>
        <v>1</v>
      </c>
    </row>
    <row r="8" spans="1:29" s="49" customFormat="1" ht="15.75" thickBot="1">
      <c r="A8" s="249" t="s">
        <v>1599</v>
      </c>
      <c r="B8" s="250"/>
      <c r="C8" s="253" t="s">
        <v>3995</v>
      </c>
      <c r="D8" s="3281">
        <v>100</v>
      </c>
      <c r="E8" s="253" t="s">
        <v>3925</v>
      </c>
      <c r="F8" s="4308">
        <f>SUMIF(62:62,E8,63:63)-SUMIF(62:62,C8,63:63)+100</f>
        <v>102</v>
      </c>
      <c r="G8" s="253" t="s">
        <v>3925</v>
      </c>
      <c r="H8" s="4319">
        <f>SUMIF(62:62,G8,63:63)-SUMIF(62:62,C8,63:63)+100</f>
        <v>102</v>
      </c>
      <c r="I8" s="253" t="s">
        <v>3925</v>
      </c>
      <c r="J8" s="4319">
        <f>SUMIF(62:62,I8,63:63)-SUMIF(62:62,C8,63:63)+100</f>
        <v>102</v>
      </c>
      <c r="K8" s="411"/>
      <c r="L8" s="2198"/>
      <c r="M8" s="2199"/>
      <c r="N8" s="2199"/>
      <c r="O8" s="2199"/>
      <c r="P8" s="4899" t="s">
        <v>1601</v>
      </c>
      <c r="Q8" s="4792"/>
      <c r="R8" s="4170" t="s">
        <v>13</v>
      </c>
      <c r="S8" s="3600">
        <f t="shared" si="0"/>
        <v>102</v>
      </c>
      <c r="T8" s="4170" t="s">
        <v>13</v>
      </c>
      <c r="U8" s="3600">
        <f t="shared" si="1"/>
        <v>102</v>
      </c>
      <c r="V8" s="4170" t="s">
        <v>13</v>
      </c>
      <c r="W8" s="3600">
        <f t="shared" si="2"/>
        <v>102</v>
      </c>
      <c r="X8" s="515"/>
      <c r="Y8" s="4793" t="s">
        <v>1601</v>
      </c>
      <c r="Z8" s="4794"/>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76" t="s">
        <v>4035</v>
      </c>
      <c r="D9" s="3282">
        <v>100</v>
      </c>
      <c r="E9" s="257" t="s">
        <v>19</v>
      </c>
      <c r="F9" s="4309">
        <f>SUMIF(64:64,E9,65:65)-SUMIF(64:64,C9,65:65)+100</f>
        <v>100</v>
      </c>
      <c r="G9" s="257" t="s">
        <v>19</v>
      </c>
      <c r="H9" s="4309">
        <f>SUMIF(64:64,G9,65:65)-SUMIF(64:64,C9,65:65)+100</f>
        <v>100</v>
      </c>
      <c r="I9" s="257" t="s">
        <v>19</v>
      </c>
      <c r="J9" s="4309">
        <f>SUMIF(64:64,I9,65:65)-SUMIF(64:64,C9,65:65)+100</f>
        <v>100</v>
      </c>
      <c r="K9" s="411"/>
      <c r="L9" s="2198"/>
      <c r="M9" s="2199"/>
      <c r="N9" s="2199"/>
      <c r="O9" s="2199"/>
      <c r="P9" s="4765" t="s">
        <v>1604</v>
      </c>
      <c r="Q9" s="3457"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0">
        <f>SUMIF(66:66,E10,67:67)-SUMIF(66:66,C10,67:67)+100</f>
        <v>100</v>
      </c>
      <c r="G10" s="2797"/>
      <c r="H10" s="4310">
        <f>SUMIF(66:66,G10,67:67)-SUMIF(66:66,C10,67:67)+100</f>
        <v>100</v>
      </c>
      <c r="I10" s="2796"/>
      <c r="J10" s="4310">
        <f>SUMIF(66:66,I10,67:67)-SUMIF(66:66,C10,67:67)+100</f>
        <v>100</v>
      </c>
      <c r="K10" s="411"/>
      <c r="L10" s="2200"/>
      <c r="M10" s="2201"/>
      <c r="N10" s="2201"/>
      <c r="O10" s="2201"/>
      <c r="P10" s="4765"/>
      <c r="Q10" s="3457"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1556">
        <f t="shared" si="5"/>
        <v>1</v>
      </c>
    </row>
    <row r="11" spans="1:29" ht="15">
      <c r="A11" s="261"/>
      <c r="B11" s="259" t="s">
        <v>1607</v>
      </c>
      <c r="C11" s="262"/>
      <c r="D11" s="3283">
        <v>100</v>
      </c>
      <c r="E11" s="262"/>
      <c r="F11" s="4310">
        <f>LOOKUP(E11,69:69,70:70)-LOOKUP(C11,69:69,70:70)+100</f>
        <v>100</v>
      </c>
      <c r="G11" s="263"/>
      <c r="H11" s="4310">
        <f>LOOKUP(G11,69:69,70:70)-LOOKUP(C11,69:69,70:70)+100</f>
        <v>100</v>
      </c>
      <c r="I11" s="262"/>
      <c r="J11" s="4310">
        <f>LOOKUP(I11,69:69,70:70)-LOOKUP(C11,69:69,70:70)+100</f>
        <v>100</v>
      </c>
      <c r="K11" s="412"/>
      <c r="L11" s="2202"/>
      <c r="M11" s="2197"/>
      <c r="N11" s="2197"/>
      <c r="O11" s="2197"/>
      <c r="P11" s="4765"/>
      <c r="Q11" s="3457" t="str">
        <f t="shared" si="6"/>
        <v>容积率</v>
      </c>
      <c r="R11" s="4170" t="s">
        <v>13</v>
      </c>
      <c r="S11" s="3600">
        <f t="shared" si="0"/>
        <v>100</v>
      </c>
      <c r="T11" s="4170" t="s">
        <v>13</v>
      </c>
      <c r="U11" s="3600">
        <f t="shared" si="1"/>
        <v>100</v>
      </c>
      <c r="V11" s="4170" t="s">
        <v>13</v>
      </c>
      <c r="W11" s="3600">
        <f t="shared" si="2"/>
        <v>100</v>
      </c>
      <c r="X11" s="515"/>
      <c r="Y11" s="4766"/>
      <c r="Z11" s="28" t="str">
        <f t="shared" si="7"/>
        <v>容积率</v>
      </c>
      <c r="AA11" s="516">
        <f t="shared" si="3"/>
        <v>1</v>
      </c>
      <c r="AB11" s="516">
        <f t="shared" si="4"/>
        <v>1</v>
      </c>
      <c r="AC11" s="1556">
        <f t="shared" si="5"/>
        <v>1</v>
      </c>
    </row>
    <row r="12" spans="1:29" s="49" customFormat="1" ht="15">
      <c r="A12" s="264"/>
      <c r="B12" s="1501">
        <v>111</v>
      </c>
      <c r="C12" s="265"/>
      <c r="D12" s="3284">
        <v>100</v>
      </c>
      <c r="E12" s="265"/>
      <c r="F12" s="4310">
        <f>SUMIF(71:71,E12,72:72)-SUMIF(71:71,C12,72:72)+100</f>
        <v>100</v>
      </c>
      <c r="G12" s="1557"/>
      <c r="H12" s="4310">
        <f>SUMIF(71:71,G12,72:72)-SUMIF(71:71,C12,72:72)+100</f>
        <v>100</v>
      </c>
      <c r="I12" s="265"/>
      <c r="J12" s="4310">
        <f>SUMIF(71:71,I12,72:72)-SUMIF(71:71,C12,72:72)+100</f>
        <v>100</v>
      </c>
      <c r="K12" s="413"/>
      <c r="L12" s="2198"/>
      <c r="M12" s="2199"/>
      <c r="N12" s="2199"/>
      <c r="O12" s="2199"/>
      <c r="P12" s="4765"/>
      <c r="Q12" s="3457">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1556">
        <f>D12/J12</f>
        <v>1</v>
      </c>
    </row>
    <row r="13" spans="1:29" ht="15">
      <c r="A13" s="261"/>
      <c r="B13" s="1501">
        <v>111</v>
      </c>
      <c r="C13" s="266"/>
      <c r="D13" s="3285">
        <v>100</v>
      </c>
      <c r="E13" s="265"/>
      <c r="F13" s="4310">
        <f>SUMIF(73:73,E13,74:74)-SUMIF(73:73,C13,74:74)+100</f>
        <v>100</v>
      </c>
      <c r="G13" s="1557"/>
      <c r="H13" s="4314">
        <f>SUMIF(73:73,G13,74:74)-SUMIF(73:73,C13,74:74)+100</f>
        <v>100</v>
      </c>
      <c r="I13" s="265"/>
      <c r="J13" s="4314">
        <f>SUMIF(73:73,I13,74:74)-SUMIF(73:73,C13,74:74)+100</f>
        <v>100</v>
      </c>
      <c r="K13" s="413"/>
      <c r="L13" s="2203"/>
      <c r="M13" s="2197"/>
      <c r="N13" s="2197"/>
      <c r="O13" s="2197"/>
      <c r="P13" s="4765"/>
      <c r="Q13" s="3457">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1556">
        <f t="shared" si="5"/>
        <v>1</v>
      </c>
    </row>
    <row r="14" spans="1:29" ht="15.75" thickBot="1">
      <c r="A14" s="267"/>
      <c r="B14" s="1502">
        <v>111</v>
      </c>
      <c r="C14" s="268"/>
      <c r="D14" s="3286">
        <v>100</v>
      </c>
      <c r="E14" s="424"/>
      <c r="F14" s="4311">
        <f>SUMIF(75:75,E14,76:76)-SUMIF(75:75,C14,76:76)+100</f>
        <v>100</v>
      </c>
      <c r="G14" s="1557"/>
      <c r="H14" s="4311">
        <f>SUMIF(75:75,G14,76:76)-SUMIF(75:75,C14,76:76)+100</f>
        <v>100</v>
      </c>
      <c r="I14" s="265"/>
      <c r="J14" s="4311">
        <f>SUMIF(75:75,I14,76:76)-SUMIF(75:75,C14,76:76)+100</f>
        <v>100</v>
      </c>
      <c r="K14" s="413"/>
      <c r="L14" s="2203"/>
      <c r="M14" s="2197"/>
      <c r="N14" s="2197"/>
      <c r="O14" s="2197"/>
      <c r="P14" s="4765"/>
      <c r="Q14" s="3457">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2">
        <f>SUMIF(77:77,E16,78:78)-SUMIF(77:77,C16,78:78)+100</f>
        <v>100</v>
      </c>
      <c r="G15" s="270"/>
      <c r="H15" s="4312">
        <f>SUMIF(77:77,G16,78:78)-SUMIF(77:77,C16,78:78)+100</f>
        <v>100</v>
      </c>
      <c r="I15" s="270"/>
      <c r="J15" s="4312">
        <f>SUMIF(77:77,I16,78:78)-SUMIF(77:77,C16,78:78)+100</f>
        <v>100</v>
      </c>
      <c r="K15" s="414"/>
      <c r="L15" s="2203"/>
      <c r="M15" s="2197"/>
      <c r="N15" s="2197"/>
      <c r="O15" s="2197"/>
      <c r="P15" s="4763" t="s">
        <v>1609</v>
      </c>
      <c r="Q15" s="3460" t="str">
        <f t="shared" si="6"/>
        <v>办公集聚程度</v>
      </c>
      <c r="R15" s="4295" t="s">
        <v>13</v>
      </c>
      <c r="S15" s="3601">
        <f t="shared" si="0"/>
        <v>100</v>
      </c>
      <c r="T15" s="4295" t="s">
        <v>13</v>
      </c>
      <c r="U15" s="3601">
        <f t="shared" si="1"/>
        <v>100</v>
      </c>
      <c r="V15" s="4295" t="s">
        <v>13</v>
      </c>
      <c r="W15" s="3601">
        <f t="shared" si="2"/>
        <v>100</v>
      </c>
      <c r="X15" s="1002"/>
      <c r="Y15" s="4756"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64"/>
      <c r="Q16" s="3460"/>
      <c r="R16" s="4295"/>
      <c r="S16" s="3601"/>
      <c r="T16" s="4295"/>
      <c r="U16" s="3601"/>
      <c r="V16" s="4295"/>
      <c r="W16" s="3601"/>
      <c r="X16" s="1002"/>
      <c r="Y16" s="4757"/>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3">
        <f>SUMIF(79:79,G18,80:80)-SUMIF(79:79,C18,80:80)+100</f>
        <v>100</v>
      </c>
      <c r="I17" s="277"/>
      <c r="J17" s="4313">
        <f>SUMIF(79:79,I18,80:80)-SUMIF(79:79,C18,80:80)+100</f>
        <v>100</v>
      </c>
      <c r="K17" s="414"/>
      <c r="L17" s="2203"/>
      <c r="M17" s="2197"/>
      <c r="N17" s="2197"/>
      <c r="O17" s="2197"/>
      <c r="P17" s="4764"/>
      <c r="Q17" s="3460"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64"/>
      <c r="Q18" s="3460"/>
      <c r="R18" s="4295"/>
      <c r="S18" s="3601"/>
      <c r="T18" s="4295"/>
      <c r="U18" s="3601"/>
      <c r="V18" s="4295"/>
      <c r="W18" s="3601"/>
      <c r="X18" s="1002"/>
      <c r="Y18" s="4757"/>
      <c r="Z18" s="1003"/>
      <c r="AA18" s="1000">
        <v>1</v>
      </c>
      <c r="AB18" s="1000">
        <v>1</v>
      </c>
      <c r="AC18" s="1559">
        <v>1</v>
      </c>
    </row>
    <row r="19" spans="1:29" ht="15">
      <c r="A19" s="261"/>
      <c r="B19" s="427" t="s">
        <v>1730</v>
      </c>
      <c r="C19" s="1560">
        <f>估价对象房地状况!C7</f>
        <v>0</v>
      </c>
      <c r="D19" s="3290">
        <v>100</v>
      </c>
      <c r="E19" s="281"/>
      <c r="F19" s="4313">
        <f>SUMIF(81:81,E20,82:82)-SUMIF(81:81,C20,82:82)+100</f>
        <v>100</v>
      </c>
      <c r="G19" s="280"/>
      <c r="H19" s="275">
        <f>SUMIF(81:81,G20,82:82)-SUMIF(81:81,C20,82:82)+100</f>
        <v>100</v>
      </c>
      <c r="I19" s="280"/>
      <c r="J19" s="275">
        <f>SUMIF(81:81,I20,82:82)-SUMIF(81:81,C20,82:82)+100</f>
        <v>100</v>
      </c>
      <c r="K19" s="414"/>
      <c r="L19" s="2203"/>
      <c r="M19" s="2197"/>
      <c r="N19" s="2197"/>
      <c r="O19" s="2197"/>
      <c r="P19" s="4764"/>
      <c r="Q19" s="3460"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64"/>
      <c r="Q20" s="3460"/>
      <c r="R20" s="4295"/>
      <c r="S20" s="3601"/>
      <c r="T20" s="4295"/>
      <c r="U20" s="3601"/>
      <c r="V20" s="4295"/>
      <c r="W20" s="3601"/>
      <c r="X20" s="1002"/>
      <c r="Y20" s="4757"/>
      <c r="Z20" s="1003"/>
      <c r="AA20" s="1000">
        <v>1</v>
      </c>
      <c r="AB20" s="1000">
        <v>1</v>
      </c>
      <c r="AC20" s="1559">
        <v>1</v>
      </c>
    </row>
    <row r="21" spans="1:29" ht="15">
      <c r="A21" s="261"/>
      <c r="B21" s="429" t="s">
        <v>1731</v>
      </c>
      <c r="C21" s="1560">
        <f>估价对象房地状况!C8</f>
        <v>0</v>
      </c>
      <c r="D21" s="3289">
        <v>100</v>
      </c>
      <c r="E21" s="281"/>
      <c r="F21" s="4313">
        <f>SUMIF(83:83,E22,84:84)-SUMIF(83:83,C22,84:84)+100</f>
        <v>100</v>
      </c>
      <c r="G21" s="280"/>
      <c r="H21" s="275">
        <f>SUMIF(83:83,G22,84:84)-SUMIF(83:83,C22,84:84)+100</f>
        <v>100</v>
      </c>
      <c r="I21" s="280"/>
      <c r="J21" s="275">
        <f>SUMIF(83:83,I22,84:84)-SUMIF(83:83,C22,84:84)+100</f>
        <v>100</v>
      </c>
      <c r="K21" s="414"/>
      <c r="L21" s="2203"/>
      <c r="M21" s="2197"/>
      <c r="N21" s="2197"/>
      <c r="O21" s="2197"/>
      <c r="P21" s="4764"/>
      <c r="Q21" s="3460"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64"/>
      <c r="Q22" s="3460"/>
      <c r="R22" s="4295"/>
      <c r="S22" s="3601"/>
      <c r="T22" s="4295"/>
      <c r="U22" s="3601"/>
      <c r="V22" s="4295"/>
      <c r="W22" s="3601"/>
      <c r="X22" s="1002"/>
      <c r="Y22" s="4757"/>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64"/>
      <c r="Q23" s="3460" t="str">
        <f>B23</f>
        <v>环境质量</v>
      </c>
      <c r="R23" s="4295" t="s">
        <v>13</v>
      </c>
      <c r="S23" s="3601">
        <f>F23</f>
        <v>100</v>
      </c>
      <c r="T23" s="4295" t="s">
        <v>13</v>
      </c>
      <c r="U23" s="3601">
        <f>H23</f>
        <v>100</v>
      </c>
      <c r="V23" s="4295" t="s">
        <v>13</v>
      </c>
      <c r="W23" s="3601">
        <f>J23</f>
        <v>100</v>
      </c>
      <c r="X23" s="1002"/>
      <c r="Y23" s="4757"/>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64"/>
      <c r="Q24" s="3460"/>
      <c r="R24" s="4295"/>
      <c r="S24" s="3601"/>
      <c r="T24" s="4295"/>
      <c r="U24" s="3601"/>
      <c r="V24" s="4295"/>
      <c r="W24" s="3601"/>
      <c r="X24" s="1002"/>
      <c r="Y24" s="4757"/>
      <c r="Z24" s="1003"/>
      <c r="AA24" s="1000">
        <v>1</v>
      </c>
      <c r="AB24" s="1000">
        <v>1</v>
      </c>
      <c r="AC24" s="1559">
        <v>1</v>
      </c>
    </row>
    <row r="25" spans="1:29" ht="27">
      <c r="A25" s="245"/>
      <c r="B25" s="427" t="s">
        <v>1733</v>
      </c>
      <c r="C25" s="1510"/>
      <c r="D25" s="3285">
        <v>100</v>
      </c>
      <c r="E25" s="266"/>
      <c r="F25" s="4314">
        <f>SUMIF(87:87,E26,88:88)-SUMIF(87:87,C26,88:88)+100</f>
        <v>100</v>
      </c>
      <c r="G25" s="1510"/>
      <c r="H25" s="4314">
        <f>SUMIF(87:87,G26,88:88)-SUMIF(87:87,C26,88:88)+100</f>
        <v>100</v>
      </c>
      <c r="I25" s="266"/>
      <c r="J25" s="4314">
        <f>SUMIF(87:87,I26,88:88)-SUMIF(87:87,C26,88:88)+100</f>
        <v>100</v>
      </c>
      <c r="K25" s="414"/>
      <c r="L25" s="2203"/>
      <c r="M25" s="2197"/>
      <c r="N25" s="2197"/>
      <c r="O25" s="2197"/>
      <c r="P25" s="4764"/>
      <c r="Q25" s="3460" t="str">
        <f>B25</f>
        <v>毗邻道路的类型与等级</v>
      </c>
      <c r="R25" s="4295" t="s">
        <v>13</v>
      </c>
      <c r="S25" s="3601">
        <f>F25</f>
        <v>100</v>
      </c>
      <c r="T25" s="4295" t="s">
        <v>13</v>
      </c>
      <c r="U25" s="3601">
        <f>H25</f>
        <v>100</v>
      </c>
      <c r="V25" s="4295" t="s">
        <v>13</v>
      </c>
      <c r="W25" s="3601">
        <f>J25</f>
        <v>100</v>
      </c>
      <c r="X25" s="1002"/>
      <c r="Y25" s="4757"/>
      <c r="Z25" s="1003" t="str">
        <f>Q25</f>
        <v>毗邻道路的类型与等级</v>
      </c>
      <c r="AA25" s="1000">
        <f t="shared" si="3"/>
        <v>1</v>
      </c>
      <c r="AB25" s="1000">
        <f t="shared" si="4"/>
        <v>1</v>
      </c>
      <c r="AC25" s="1559">
        <f t="shared" si="5"/>
        <v>1</v>
      </c>
    </row>
    <row r="26" spans="1:29" ht="15">
      <c r="A26" s="245"/>
      <c r="B26" s="428"/>
      <c r="C26" s="430"/>
      <c r="D26" s="3285"/>
      <c r="E26" s="416"/>
      <c r="F26" s="4314"/>
      <c r="G26" s="430"/>
      <c r="H26" s="4314"/>
      <c r="I26" s="416"/>
      <c r="J26" s="4314"/>
      <c r="K26" s="415"/>
      <c r="L26" s="2203"/>
      <c r="M26" s="2197"/>
      <c r="N26" s="2197"/>
      <c r="O26" s="2197"/>
      <c r="P26" s="4764"/>
      <c r="Q26" s="3460"/>
      <c r="R26" s="4295"/>
      <c r="S26" s="3601"/>
      <c r="T26" s="4295"/>
      <c r="U26" s="3601"/>
      <c r="V26" s="4295"/>
      <c r="W26" s="3601"/>
      <c r="X26" s="1002"/>
      <c r="Y26" s="4757"/>
      <c r="Z26" s="1003"/>
      <c r="AA26" s="1000">
        <v>1</v>
      </c>
      <c r="AB26" s="1000">
        <v>1</v>
      </c>
      <c r="AC26" s="1559">
        <v>1</v>
      </c>
    </row>
    <row r="27" spans="1:29" ht="15">
      <c r="A27" s="261"/>
      <c r="B27" s="428" t="s">
        <v>1701</v>
      </c>
      <c r="C27" s="430"/>
      <c r="D27" s="3285">
        <v>100</v>
      </c>
      <c r="E27" s="416"/>
      <c r="F27" s="4314">
        <f>SUMIF(89:89,E27,90:90)-SUMIF(89:89,C27,90:90)+100</f>
        <v>100</v>
      </c>
      <c r="G27" s="430"/>
      <c r="H27" s="4314">
        <f>SUMIF(89:89,G27,90:90)-SUMIF(89:89,C27,90:90)+100</f>
        <v>100</v>
      </c>
      <c r="I27" s="416"/>
      <c r="J27" s="4314">
        <f>SUMIF(89:89,I27,90:90)-SUMIF(89:89,C27,90:90)+100</f>
        <v>100</v>
      </c>
      <c r="K27" s="412"/>
      <c r="L27" s="2203"/>
      <c r="M27" s="2197"/>
      <c r="N27" s="2197"/>
      <c r="O27" s="2197"/>
      <c r="P27" s="4764"/>
      <c r="Q27" s="3460" t="str">
        <f t="shared" ref="Q27:Q47" si="11">B27</f>
        <v>楼层</v>
      </c>
      <c r="R27" s="4295" t="s">
        <v>13</v>
      </c>
      <c r="S27" s="3601">
        <f>F27</f>
        <v>100</v>
      </c>
      <c r="T27" s="4295" t="s">
        <v>13</v>
      </c>
      <c r="U27" s="3601">
        <f>H27</f>
        <v>100</v>
      </c>
      <c r="V27" s="4295" t="s">
        <v>13</v>
      </c>
      <c r="W27" s="3601">
        <f>J27</f>
        <v>100</v>
      </c>
      <c r="X27" s="1002"/>
      <c r="Y27" s="4757"/>
      <c r="Z27" s="1003" t="str">
        <f>Q27</f>
        <v>楼层</v>
      </c>
      <c r="AA27" s="1000">
        <f t="shared" si="3"/>
        <v>1</v>
      </c>
      <c r="AB27" s="1000">
        <f t="shared" si="4"/>
        <v>1</v>
      </c>
      <c r="AC27" s="1559">
        <f t="shared" si="5"/>
        <v>1</v>
      </c>
    </row>
    <row r="28" spans="1:29" s="49" customFormat="1" ht="15">
      <c r="A28" s="264"/>
      <c r="B28" s="427" t="s">
        <v>1734</v>
      </c>
      <c r="C28" s="1562"/>
      <c r="D28" s="3291">
        <v>100</v>
      </c>
      <c r="E28" s="1553"/>
      <c r="F28" s="4315">
        <f>SUMIF(91:91,E28,92:92)-SUMIF(91:91,C28,92:92)+100</f>
        <v>100</v>
      </c>
      <c r="G28" s="1562"/>
      <c r="H28" s="4315">
        <f>SUMIF(91:91,G28,92:92)-SUMIF(91:91,C28,92:92)+100</f>
        <v>100</v>
      </c>
      <c r="I28" s="1553"/>
      <c r="J28" s="4315">
        <f>SUMIF(91:91,I28,92:92)-SUMIF(91:91,C28,92:92)+100</f>
        <v>100</v>
      </c>
      <c r="K28" s="412"/>
      <c r="L28" s="2198"/>
      <c r="M28" s="2199"/>
      <c r="N28" s="2199"/>
      <c r="O28" s="2199"/>
      <c r="P28" s="4764"/>
      <c r="Q28" s="3457" t="str">
        <f t="shared" si="11"/>
        <v>朝向</v>
      </c>
      <c r="R28" s="4170" t="s">
        <v>13</v>
      </c>
      <c r="S28" s="3600">
        <f>F28</f>
        <v>100</v>
      </c>
      <c r="T28" s="4170" t="s">
        <v>13</v>
      </c>
      <c r="U28" s="3600">
        <f>H28</f>
        <v>100</v>
      </c>
      <c r="V28" s="4170" t="s">
        <v>13</v>
      </c>
      <c r="W28" s="3600">
        <f>J28</f>
        <v>100</v>
      </c>
      <c r="X28" s="515"/>
      <c r="Y28" s="4757"/>
      <c r="Z28" s="28" t="str">
        <f>Q28</f>
        <v>朝向</v>
      </c>
      <c r="AA28" s="1000">
        <f>D28/F28</f>
        <v>1</v>
      </c>
      <c r="AB28" s="1000">
        <f>D28/H28</f>
        <v>1</v>
      </c>
      <c r="AC28" s="1559">
        <f>D28/J28</f>
        <v>1</v>
      </c>
    </row>
    <row r="29" spans="1:29" ht="15">
      <c r="A29" s="261"/>
      <c r="B29" s="1563">
        <v>111</v>
      </c>
      <c r="C29" s="1510"/>
      <c r="D29" s="3285">
        <v>100</v>
      </c>
      <c r="E29" s="265"/>
      <c r="F29" s="4314">
        <f>SUMIF(93:93,E29,94:94)-SUMIF(93:93,C29,94:94)+100</f>
        <v>100</v>
      </c>
      <c r="G29" s="1557"/>
      <c r="H29" s="4314">
        <f>SUMIF(93:93,G29,94:94)-SUMIF(93:93,C29,94:94)+100</f>
        <v>100</v>
      </c>
      <c r="I29" s="265"/>
      <c r="J29" s="4314">
        <f>SUMIF(93:93,I29,94:94)-SUMIF(93:93,C29,94:94)+100</f>
        <v>100</v>
      </c>
      <c r="K29" s="413"/>
      <c r="L29" s="2203"/>
      <c r="M29" s="2197"/>
      <c r="N29" s="2197"/>
      <c r="O29" s="2197"/>
      <c r="P29" s="4764"/>
      <c r="Q29" s="3460">
        <f t="shared" si="11"/>
        <v>111</v>
      </c>
      <c r="R29" s="4295" t="s">
        <v>13</v>
      </c>
      <c r="S29" s="3601">
        <f t="shared" ref="S29:S47" si="12">F29</f>
        <v>100</v>
      </c>
      <c r="T29" s="4295" t="s">
        <v>13</v>
      </c>
      <c r="U29" s="3601">
        <f t="shared" ref="U29:U47" si="13">H29</f>
        <v>100</v>
      </c>
      <c r="V29" s="4295" t="s">
        <v>13</v>
      </c>
      <c r="W29" s="3601">
        <f t="shared" ref="W29:W47" si="14">J29</f>
        <v>100</v>
      </c>
      <c r="X29" s="1002"/>
      <c r="Y29" s="4757"/>
      <c r="Z29" s="1003">
        <f t="shared" ref="Z29:Z47" si="15">Q29</f>
        <v>111</v>
      </c>
      <c r="AA29" s="1000">
        <f t="shared" si="3"/>
        <v>1</v>
      </c>
      <c r="AB29" s="1000">
        <f t="shared" si="4"/>
        <v>1</v>
      </c>
      <c r="AC29" s="1559">
        <f t="shared" si="5"/>
        <v>1</v>
      </c>
    </row>
    <row r="30" spans="1:29" ht="15">
      <c r="A30" s="261"/>
      <c r="B30" s="1563">
        <v>111</v>
      </c>
      <c r="C30" s="1510"/>
      <c r="D30" s="3285">
        <v>100</v>
      </c>
      <c r="E30" s="265"/>
      <c r="F30" s="4314">
        <f>SUMIF(95:95,E30,96:96)-SUMIF(95:95,C30,96:96)+100</f>
        <v>100</v>
      </c>
      <c r="G30" s="1557"/>
      <c r="H30" s="4314">
        <f>SUMIF(95:95,G30,96:96)-SUMIF(95:95,C30,96:96)+100</f>
        <v>100</v>
      </c>
      <c r="I30" s="265"/>
      <c r="J30" s="4314">
        <f>SUMIF(95:95,I30,96:96)-SUMIF(95:95,C30,96:96)+100</f>
        <v>100</v>
      </c>
      <c r="K30" s="413"/>
      <c r="L30" s="2203"/>
      <c r="M30" s="2197"/>
      <c r="N30" s="2197"/>
      <c r="O30" s="2197"/>
      <c r="P30" s="4764"/>
      <c r="Q30" s="3460">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559">
        <f t="shared" si="5"/>
        <v>1</v>
      </c>
    </row>
    <row r="31" spans="1:29" ht="15">
      <c r="A31" s="261"/>
      <c r="B31" s="1563">
        <v>111</v>
      </c>
      <c r="C31" s="1510"/>
      <c r="D31" s="3285">
        <v>100</v>
      </c>
      <c r="E31" s="265"/>
      <c r="F31" s="4314">
        <f>SUMIF(97:97,E31,98:98)-SUMIF(97:97,C31,98:98)+100</f>
        <v>100</v>
      </c>
      <c r="G31" s="1557"/>
      <c r="H31" s="4314">
        <f>SUMIF(97:97,G31,98:98)-SUMIF(97:97,C31,98:98)+100</f>
        <v>100</v>
      </c>
      <c r="I31" s="265"/>
      <c r="J31" s="4314">
        <f>SUMIF(97:97,I31,98:98)-SUMIF(97:97,C31,98:98)+100</f>
        <v>100</v>
      </c>
      <c r="K31" s="413"/>
      <c r="L31" s="2203"/>
      <c r="M31" s="2197"/>
      <c r="N31" s="2197"/>
      <c r="O31" s="2197"/>
      <c r="P31" s="4764"/>
      <c r="Q31" s="3460">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559">
        <f t="shared" si="5"/>
        <v>1</v>
      </c>
    </row>
    <row r="32" spans="1:29" ht="15.75" thickBot="1">
      <c r="A32" s="267"/>
      <c r="B32" s="431">
        <v>111</v>
      </c>
      <c r="C32" s="1511"/>
      <c r="D32" s="3286">
        <v>100</v>
      </c>
      <c r="E32" s="424"/>
      <c r="F32" s="4311">
        <f>SUMIF(99:99,E32,100:100)-SUMIF(99:99,C32,100:100)+100</f>
        <v>100</v>
      </c>
      <c r="G32" s="1557"/>
      <c r="H32" s="4311">
        <f>SUMIF(99:99,G32,100:100)-SUMIF(99:99,C32,100:100)+100</f>
        <v>100</v>
      </c>
      <c r="I32" s="265"/>
      <c r="J32" s="4311">
        <f>SUMIF(99:99,I32,100:100)-SUMIF(99:99,C32,100:100)+100</f>
        <v>100</v>
      </c>
      <c r="K32" s="413"/>
      <c r="L32" s="2203"/>
      <c r="M32" s="2197"/>
      <c r="N32" s="2197"/>
      <c r="O32" s="2197"/>
      <c r="P32" s="4764"/>
      <c r="Q32" s="3460">
        <f t="shared" si="11"/>
        <v>111</v>
      </c>
      <c r="R32" s="4295" t="s">
        <v>13</v>
      </c>
      <c r="S32" s="3601">
        <f t="shared" si="12"/>
        <v>100</v>
      </c>
      <c r="T32" s="4295" t="s">
        <v>13</v>
      </c>
      <c r="U32" s="3601">
        <f t="shared" si="13"/>
        <v>100</v>
      </c>
      <c r="V32" s="4295" t="s">
        <v>13</v>
      </c>
      <c r="W32" s="3601">
        <f t="shared" si="14"/>
        <v>100</v>
      </c>
      <c r="X32" s="1002"/>
      <c r="Y32" s="4757"/>
      <c r="Z32" s="1003">
        <f t="shared" si="15"/>
        <v>111</v>
      </c>
      <c r="AA32" s="1000">
        <f t="shared" si="3"/>
        <v>1</v>
      </c>
      <c r="AB32" s="1000">
        <f t="shared" si="4"/>
        <v>1</v>
      </c>
      <c r="AC32" s="1559">
        <f t="shared" si="5"/>
        <v>1</v>
      </c>
    </row>
    <row r="33" spans="1:29" ht="15">
      <c r="A33" s="269" t="s">
        <v>1612</v>
      </c>
      <c r="B33" s="34" t="s">
        <v>1735</v>
      </c>
      <c r="C33" s="1564" t="s">
        <v>4023</v>
      </c>
      <c r="D33" s="3292">
        <v>100</v>
      </c>
      <c r="E33" s="1564" t="s">
        <v>4023</v>
      </c>
      <c r="F33" s="4316">
        <f>SUMIF(101:101,E33,102:102)-SUMIF(101:101,C33,102:102)+100</f>
        <v>100</v>
      </c>
      <c r="G33" s="1564" t="s">
        <v>4023</v>
      </c>
      <c r="H33" s="4314">
        <f>SUMIF(101:101,G33,102:102)-SUMIF(101:101,C33,102:102)+100</f>
        <v>100</v>
      </c>
      <c r="I33" s="1564" t="s">
        <v>4023</v>
      </c>
      <c r="J33" s="4320">
        <f>SUMIF(101:101,I33,102:102)-SUMIF(101:101,C33,102:102)+100</f>
        <v>100</v>
      </c>
      <c r="K33" s="412"/>
      <c r="L33" s="2203"/>
      <c r="M33" s="2197"/>
      <c r="N33" s="2197"/>
      <c r="O33" s="2197"/>
      <c r="P33" s="4758" t="s">
        <v>1614</v>
      </c>
      <c r="Q33" s="3460" t="str">
        <f t="shared" si="11"/>
        <v>建筑类型</v>
      </c>
      <c r="R33" s="4295" t="s">
        <v>13</v>
      </c>
      <c r="S33" s="3601">
        <f t="shared" si="12"/>
        <v>100</v>
      </c>
      <c r="T33" s="4295" t="s">
        <v>13</v>
      </c>
      <c r="U33" s="3601">
        <f t="shared" si="13"/>
        <v>100</v>
      </c>
      <c r="V33" s="4295" t="s">
        <v>13</v>
      </c>
      <c r="W33" s="3601">
        <f t="shared" si="14"/>
        <v>100</v>
      </c>
      <c r="X33" s="1002"/>
      <c r="Y33" s="4761"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17">
        <f>LOOKUP(E34,104:104,105:105)-LOOKUP(C34,104:104,105:105)+100</f>
        <v>100</v>
      </c>
      <c r="G34" s="285"/>
      <c r="H34" s="4310">
        <f>LOOKUP(G34,104:104,105:105)-LOOKUP(C34,104:104,105:105)+100</f>
        <v>100</v>
      </c>
      <c r="I34" s="285"/>
      <c r="J34" s="4310">
        <f>LOOKUP(I34,104:104,105:105)-LOOKUP(C34,104:104,105:105)+100</f>
        <v>100</v>
      </c>
      <c r="K34" s="413"/>
      <c r="L34" s="2202"/>
      <c r="M34" s="2204"/>
      <c r="N34" s="2204"/>
      <c r="O34" s="2204"/>
      <c r="P34" s="4759"/>
      <c r="Q34" s="3246" t="str">
        <f t="shared" si="11"/>
        <v>项目建筑规模</v>
      </c>
      <c r="R34" s="4296" t="s">
        <v>13</v>
      </c>
      <c r="S34" s="3602">
        <f t="shared" si="12"/>
        <v>100</v>
      </c>
      <c r="T34" s="4296" t="s">
        <v>13</v>
      </c>
      <c r="U34" s="3602">
        <f t="shared" si="13"/>
        <v>100</v>
      </c>
      <c r="V34" s="4296" t="s">
        <v>13</v>
      </c>
      <c r="W34" s="3602">
        <f t="shared" si="14"/>
        <v>100</v>
      </c>
      <c r="X34" s="518"/>
      <c r="Y34" s="4761"/>
      <c r="Z34" s="519" t="str">
        <f t="shared" si="15"/>
        <v>项目建筑规模</v>
      </c>
      <c r="AA34" s="1000">
        <f t="shared" si="3"/>
        <v>1</v>
      </c>
      <c r="AB34" s="1000">
        <f t="shared" si="4"/>
        <v>1</v>
      </c>
      <c r="AC34" s="1559">
        <f t="shared" si="5"/>
        <v>1</v>
      </c>
    </row>
    <row r="35" spans="1:29" ht="15">
      <c r="A35" s="287"/>
      <c r="B35" s="259" t="s">
        <v>1616</v>
      </c>
      <c r="C35" s="282" t="s">
        <v>3895</v>
      </c>
      <c r="D35" s="3285">
        <v>100</v>
      </c>
      <c r="E35" s="282" t="s">
        <v>3895</v>
      </c>
      <c r="F35" s="4316">
        <f>SUMIF(106:106,E35,107:107)-SUMIF(106:106,C35,107:107)+100</f>
        <v>100</v>
      </c>
      <c r="G35" s="282" t="s">
        <v>3895</v>
      </c>
      <c r="H35" s="4314">
        <f>SUMIF(106:106,G35,107:107)-SUMIF(106:106,C35,107:107)+100</f>
        <v>100</v>
      </c>
      <c r="I35" s="282" t="s">
        <v>3895</v>
      </c>
      <c r="J35" s="4314">
        <f>SUMIF(106:106,I35,107:107)-SUMIF(106:106,C35,107:107)+100</f>
        <v>100</v>
      </c>
      <c r="K35" s="412"/>
      <c r="L35" s="2203"/>
      <c r="M35" s="2197"/>
      <c r="N35" s="2197"/>
      <c r="O35" s="2197"/>
      <c r="P35" s="4759"/>
      <c r="Q35" s="3460" t="str">
        <f t="shared" si="11"/>
        <v>建筑结构</v>
      </c>
      <c r="R35" s="4295" t="s">
        <v>13</v>
      </c>
      <c r="S35" s="3601">
        <f t="shared" si="12"/>
        <v>100</v>
      </c>
      <c r="T35" s="4295" t="s">
        <v>13</v>
      </c>
      <c r="U35" s="3601">
        <f t="shared" si="13"/>
        <v>100</v>
      </c>
      <c r="V35" s="4295" t="s">
        <v>13</v>
      </c>
      <c r="W35" s="3601">
        <f t="shared" si="14"/>
        <v>100</v>
      </c>
      <c r="X35" s="1002"/>
      <c r="Y35" s="4761"/>
      <c r="Z35" s="1003" t="str">
        <f t="shared" si="15"/>
        <v>建筑结构</v>
      </c>
      <c r="AA35" s="1000">
        <f t="shared" si="3"/>
        <v>1</v>
      </c>
      <c r="AB35" s="1000">
        <f t="shared" si="4"/>
        <v>1</v>
      </c>
      <c r="AC35" s="1559">
        <f t="shared" si="5"/>
        <v>1</v>
      </c>
    </row>
    <row r="36" spans="1:29" ht="15">
      <c r="A36" s="287"/>
      <c r="B36" s="259" t="s">
        <v>1703</v>
      </c>
      <c r="C36" s="282" t="s">
        <v>4026</v>
      </c>
      <c r="D36" s="3285">
        <v>100</v>
      </c>
      <c r="E36" s="282" t="s">
        <v>4026</v>
      </c>
      <c r="F36" s="4316">
        <f>SUMIF(108:108,E36,109:109)-SUMIF(108:108,C36,109:109)+100</f>
        <v>100</v>
      </c>
      <c r="G36" s="282" t="s">
        <v>4026</v>
      </c>
      <c r="H36" s="4314">
        <f>SUMIF(108:108,G36,109:109)-SUMIF(108:108,C36,109:109)+100</f>
        <v>100</v>
      </c>
      <c r="I36" s="282" t="s">
        <v>4026</v>
      </c>
      <c r="J36" s="4314">
        <f>SUMIF(108:108,I36,109:109)-SUMIF(108:108,C36,109:109)+100</f>
        <v>100</v>
      </c>
      <c r="K36" s="412"/>
      <c r="L36" s="2203"/>
      <c r="M36" s="2197"/>
      <c r="N36" s="2197"/>
      <c r="O36" s="2197"/>
      <c r="P36" s="4759"/>
      <c r="Q36" s="3460" t="str">
        <f t="shared" si="11"/>
        <v>公共部分装修</v>
      </c>
      <c r="R36" s="4295" t="s">
        <v>13</v>
      </c>
      <c r="S36" s="3601">
        <f t="shared" si="12"/>
        <v>100</v>
      </c>
      <c r="T36" s="4295" t="s">
        <v>13</v>
      </c>
      <c r="U36" s="3601">
        <f t="shared" si="13"/>
        <v>100</v>
      </c>
      <c r="V36" s="4295" t="s">
        <v>13</v>
      </c>
      <c r="W36" s="3601">
        <f t="shared" si="14"/>
        <v>100</v>
      </c>
      <c r="X36" s="1002"/>
      <c r="Y36" s="4761"/>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6">
        <f>LOOKUP(E37,111:111,112:112)-LOOKUP(C37,111:111,112:112)+100</f>
        <v>100</v>
      </c>
      <c r="G37" s="289">
        <f>E37</f>
        <v>0.85</v>
      </c>
      <c r="H37" s="4316">
        <f>LOOKUP(G37,111:111,112:112)-LOOKUP(C37,111:111,112:112)+100</f>
        <v>100</v>
      </c>
      <c r="I37" s="289">
        <f>G37</f>
        <v>0.85</v>
      </c>
      <c r="J37" s="4314">
        <f>LOOKUP(I37,111:111,112:112)-LOOKUP(C37,111:111,112:112)+100</f>
        <v>100</v>
      </c>
      <c r="K37" s="412"/>
      <c r="L37" s="2203"/>
      <c r="M37" s="2197"/>
      <c r="N37" s="2197"/>
      <c r="O37" s="2197"/>
      <c r="P37" s="4759"/>
      <c r="Q37" s="3460" t="str">
        <f t="shared" si="11"/>
        <v>成新度</v>
      </c>
      <c r="R37" s="4295" t="s">
        <v>13</v>
      </c>
      <c r="S37" s="3601">
        <f t="shared" si="12"/>
        <v>100</v>
      </c>
      <c r="T37" s="4295" t="s">
        <v>13</v>
      </c>
      <c r="U37" s="3601">
        <f t="shared" si="13"/>
        <v>100</v>
      </c>
      <c r="V37" s="4295" t="s">
        <v>13</v>
      </c>
      <c r="W37" s="3601">
        <f t="shared" si="14"/>
        <v>100</v>
      </c>
      <c r="X37" s="1002"/>
      <c r="Y37" s="4761"/>
      <c r="Z37" s="1003" t="str">
        <f t="shared" si="15"/>
        <v>成新度</v>
      </c>
      <c r="AA37" s="1000">
        <f t="shared" si="3"/>
        <v>1</v>
      </c>
      <c r="AB37" s="1000">
        <f t="shared" si="4"/>
        <v>1</v>
      </c>
      <c r="AC37" s="1559">
        <f t="shared" si="5"/>
        <v>1</v>
      </c>
    </row>
    <row r="38" spans="1:29" s="49" customFormat="1" ht="15">
      <c r="A38" s="288"/>
      <c r="B38" s="259" t="s">
        <v>1736</v>
      </c>
      <c r="C38" s="282" t="s">
        <v>4028</v>
      </c>
      <c r="D38" s="3283">
        <v>100</v>
      </c>
      <c r="E38" s="282" t="s">
        <v>4028</v>
      </c>
      <c r="F38" s="4316">
        <f>SUMIF(113:113,E38,114:114)-SUMIF(113:113,C38,114:114)+100</f>
        <v>100</v>
      </c>
      <c r="G38" s="282" t="s">
        <v>4028</v>
      </c>
      <c r="H38" s="4314">
        <f>SUMIF(113:113,G38,114:114)-SUMIF(113:113,C38,114:114)+100</f>
        <v>100</v>
      </c>
      <c r="I38" s="282" t="s">
        <v>4028</v>
      </c>
      <c r="J38" s="4314">
        <f>SUMIF(113:113,I38,114:114)-SUMIF(113:113,C38,114:114)+100</f>
        <v>100</v>
      </c>
      <c r="K38" s="412"/>
      <c r="L38" s="2198"/>
      <c r="M38" s="2199"/>
      <c r="N38" s="2199"/>
      <c r="O38" s="2199"/>
      <c r="P38" s="4759"/>
      <c r="Q38" s="3457" t="str">
        <f t="shared" si="11"/>
        <v>写字楼等级</v>
      </c>
      <c r="R38" s="4170" t="s">
        <v>13</v>
      </c>
      <c r="S38" s="3600">
        <f t="shared" si="12"/>
        <v>100</v>
      </c>
      <c r="T38" s="4170" t="s">
        <v>13</v>
      </c>
      <c r="U38" s="3600">
        <f t="shared" si="13"/>
        <v>100</v>
      </c>
      <c r="V38" s="4170" t="s">
        <v>13</v>
      </c>
      <c r="W38" s="3600">
        <f t="shared" si="14"/>
        <v>100</v>
      </c>
      <c r="X38" s="515"/>
      <c r="Y38" s="4761"/>
      <c r="Z38" s="28" t="str">
        <f t="shared" si="15"/>
        <v>写字楼等级</v>
      </c>
      <c r="AA38" s="516">
        <f t="shared" si="3"/>
        <v>1</v>
      </c>
      <c r="AB38" s="516">
        <f t="shared" si="4"/>
        <v>1</v>
      </c>
      <c r="AC38" s="1556">
        <f t="shared" si="5"/>
        <v>1</v>
      </c>
    </row>
    <row r="39" spans="1:29" ht="15">
      <c r="A39" s="287"/>
      <c r="B39" s="259" t="s">
        <v>1737</v>
      </c>
      <c r="C39" s="282" t="s">
        <v>4030</v>
      </c>
      <c r="D39" s="3285">
        <v>100</v>
      </c>
      <c r="E39" s="282" t="s">
        <v>4030</v>
      </c>
      <c r="F39" s="4316">
        <f>SUMIF(115:115,E39,116:116)-SUMIF(115:115,C39,116:116)+100</f>
        <v>100</v>
      </c>
      <c r="G39" s="282" t="s">
        <v>4030</v>
      </c>
      <c r="H39" s="4314">
        <f>SUMIF(115:115,G39,116:116)-SUMIF(115:115,C39,116:116)+100</f>
        <v>100</v>
      </c>
      <c r="I39" s="282" t="s">
        <v>4030</v>
      </c>
      <c r="J39" s="4314">
        <f>SUMIF(115:115,I39,116:116)-SUMIF(115:115,C39,116:116)+100</f>
        <v>100</v>
      </c>
      <c r="K39" s="412"/>
      <c r="L39" s="2203"/>
      <c r="M39" s="2197"/>
      <c r="N39" s="2197"/>
      <c r="O39" s="2197"/>
      <c r="P39" s="4759" t="s">
        <v>1614</v>
      </c>
      <c r="Q39" s="3460" t="str">
        <f t="shared" si="11"/>
        <v>物业管理</v>
      </c>
      <c r="R39" s="4295" t="s">
        <v>13</v>
      </c>
      <c r="S39" s="3601">
        <f t="shared" si="12"/>
        <v>100</v>
      </c>
      <c r="T39" s="4295" t="s">
        <v>13</v>
      </c>
      <c r="U39" s="3601">
        <f t="shared" si="13"/>
        <v>100</v>
      </c>
      <c r="V39" s="4295" t="s">
        <v>13</v>
      </c>
      <c r="W39" s="3601">
        <f t="shared" si="14"/>
        <v>100</v>
      </c>
      <c r="X39" s="1002"/>
      <c r="Y39" s="4761"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6">
        <f>SUMIF(117:117,E40,118:118)-SUMIF(117:117,C40,118:118)+100</f>
        <v>100</v>
      </c>
      <c r="G40" s="282"/>
      <c r="H40" s="4314">
        <f>SUMIF(117:117,G40,118:118)-SUMIF(117:117,C40,118:118)+100</f>
        <v>100</v>
      </c>
      <c r="I40" s="282"/>
      <c r="J40" s="4314">
        <f>SUMIF(117:117,I40,118:118)-SUMIF(117:117,C40,118:118)+100</f>
        <v>100</v>
      </c>
      <c r="K40" s="412"/>
      <c r="L40" s="2203"/>
      <c r="M40" s="2197"/>
      <c r="N40" s="2197"/>
      <c r="O40" s="2197"/>
      <c r="P40" s="4759"/>
      <c r="Q40" s="3460" t="str">
        <f t="shared" si="11"/>
        <v>市政基础设施</v>
      </c>
      <c r="R40" s="4295" t="s">
        <v>13</v>
      </c>
      <c r="S40" s="3601">
        <f t="shared" si="12"/>
        <v>100</v>
      </c>
      <c r="T40" s="4295" t="s">
        <v>13</v>
      </c>
      <c r="U40" s="3601">
        <f t="shared" si="13"/>
        <v>100</v>
      </c>
      <c r="V40" s="4295" t="s">
        <v>13</v>
      </c>
      <c r="W40" s="3601">
        <f t="shared" si="14"/>
        <v>100</v>
      </c>
      <c r="X40" s="1002"/>
      <c r="Y40" s="4761"/>
      <c r="Z40" s="1003" t="str">
        <f t="shared" si="15"/>
        <v>市政基础设施</v>
      </c>
      <c r="AA40" s="1000">
        <f t="shared" si="3"/>
        <v>1</v>
      </c>
      <c r="AB40" s="1000">
        <f t="shared" si="4"/>
        <v>1</v>
      </c>
      <c r="AC40" s="1559">
        <f t="shared" si="5"/>
        <v>1</v>
      </c>
    </row>
    <row r="41" spans="1:29" ht="15">
      <c r="A41" s="287"/>
      <c r="B41" s="259" t="s">
        <v>1707</v>
      </c>
      <c r="C41" s="416"/>
      <c r="D41" s="3285">
        <v>100</v>
      </c>
      <c r="E41" s="416"/>
      <c r="F41" s="4316">
        <f>SUMIF(119:119,E41,120:120)-SUMIF(119:119,C41,120:120)+100</f>
        <v>100</v>
      </c>
      <c r="G41" s="416"/>
      <c r="H41" s="4314">
        <f>SUMIF(119:119,G41,120:120)-SUMIF(119:119,C41,120:120)+100</f>
        <v>100</v>
      </c>
      <c r="I41" s="416"/>
      <c r="J41" s="4314">
        <f>SUMIF(119:119,I41,120:120)-SUMIF(119:119,C41,120:120)+100</f>
        <v>100</v>
      </c>
      <c r="K41" s="412"/>
      <c r="L41" s="2203"/>
      <c r="M41" s="2197"/>
      <c r="N41" s="2197"/>
      <c r="O41" s="2197"/>
      <c r="P41" s="4759"/>
      <c r="Q41" s="3460" t="str">
        <f t="shared" si="11"/>
        <v>层高</v>
      </c>
      <c r="R41" s="4295" t="s">
        <v>13</v>
      </c>
      <c r="S41" s="3601">
        <f t="shared" si="12"/>
        <v>100</v>
      </c>
      <c r="T41" s="4295" t="s">
        <v>13</v>
      </c>
      <c r="U41" s="3601">
        <f t="shared" si="13"/>
        <v>100</v>
      </c>
      <c r="V41" s="4295" t="s">
        <v>13</v>
      </c>
      <c r="W41" s="3601">
        <f t="shared" si="14"/>
        <v>100</v>
      </c>
      <c r="X41" s="1002"/>
      <c r="Y41" s="4761"/>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6">
        <f>SUMIF(121:121,E42,122:122)-SUMIF(121:121,C42,122:122)+100</f>
        <v>100</v>
      </c>
      <c r="G42" s="266"/>
      <c r="H42" s="4314">
        <f>SUMIF(121:121,G42,122:122)-SUMIF(121:121,C42,122:122)+100</f>
        <v>100</v>
      </c>
      <c r="I42" s="266"/>
      <c r="J42" s="4314">
        <f>SUMIF(121:121,I42,122:122)-SUMIF(121:121,C42,122:122)+100</f>
        <v>100</v>
      </c>
      <c r="K42" s="413"/>
      <c r="L42" s="2202"/>
      <c r="M42" s="2204"/>
      <c r="N42" s="2204"/>
      <c r="O42" s="2204"/>
      <c r="P42" s="4759"/>
      <c r="Q42" s="3246" t="str">
        <f t="shared" si="11"/>
        <v>单套建筑面积</v>
      </c>
      <c r="R42" s="4296" t="s">
        <v>13</v>
      </c>
      <c r="S42" s="3602">
        <f t="shared" si="12"/>
        <v>100</v>
      </c>
      <c r="T42" s="4296" t="s">
        <v>13</v>
      </c>
      <c r="U42" s="3602">
        <f t="shared" si="13"/>
        <v>100</v>
      </c>
      <c r="V42" s="4296" t="s">
        <v>13</v>
      </c>
      <c r="W42" s="3602">
        <f t="shared" si="14"/>
        <v>100</v>
      </c>
      <c r="X42" s="518"/>
      <c r="Y42" s="4761"/>
      <c r="Z42" s="519" t="str">
        <f t="shared" si="15"/>
        <v>单套建筑面积</v>
      </c>
      <c r="AA42" s="1000">
        <f t="shared" si="3"/>
        <v>1</v>
      </c>
      <c r="AB42" s="1000">
        <f t="shared" si="4"/>
        <v>1</v>
      </c>
      <c r="AC42" s="1559">
        <f t="shared" si="5"/>
        <v>1</v>
      </c>
    </row>
    <row r="43" spans="1:29" ht="15">
      <c r="A43" s="287"/>
      <c r="B43" s="259" t="s">
        <v>1710</v>
      </c>
      <c r="C43" s="282" t="s">
        <v>4026</v>
      </c>
      <c r="D43" s="3285">
        <v>100</v>
      </c>
      <c r="E43" s="282" t="s">
        <v>4026</v>
      </c>
      <c r="F43" s="4316">
        <f>SUMIF(123:123,E43,124:124)-SUMIF(123:123,C43,124:124)+100</f>
        <v>100</v>
      </c>
      <c r="G43" s="282" t="s">
        <v>4026</v>
      </c>
      <c r="H43" s="4314">
        <f>SUMIF(123:123,G43,124:124)-SUMIF(123:123,C43,124:124)+100</f>
        <v>100</v>
      </c>
      <c r="I43" s="282" t="s">
        <v>4026</v>
      </c>
      <c r="J43" s="4314">
        <f>SUMIF(123:123,I43,124:124)-SUMIF(123:123,C43,124:124)+100</f>
        <v>100</v>
      </c>
      <c r="K43" s="412"/>
      <c r="L43" s="2203"/>
      <c r="M43" s="2197"/>
      <c r="N43" s="2197"/>
      <c r="O43" s="2197"/>
      <c r="P43" s="4759"/>
      <c r="Q43" s="3460" t="str">
        <f t="shared" si="11"/>
        <v>内部装修</v>
      </c>
      <c r="R43" s="4295" t="s">
        <v>13</v>
      </c>
      <c r="S43" s="3601">
        <f t="shared" si="12"/>
        <v>100</v>
      </c>
      <c r="T43" s="4295" t="s">
        <v>13</v>
      </c>
      <c r="U43" s="3601">
        <f t="shared" si="13"/>
        <v>100</v>
      </c>
      <c r="V43" s="4295" t="s">
        <v>13</v>
      </c>
      <c r="W43" s="3601">
        <f t="shared" si="14"/>
        <v>100</v>
      </c>
      <c r="X43" s="1002"/>
      <c r="Y43" s="4761"/>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6">
        <f>SUMIF(125:125,E44,126:126)-SUMIF(125:125,C44,126:126)+100</f>
        <v>100</v>
      </c>
      <c r="G44" s="282" t="s">
        <v>3659</v>
      </c>
      <c r="H44" s="4314">
        <f>SUMIF(125:125,G44,126:126)-SUMIF(125:125,C44,126:126)+100</f>
        <v>100</v>
      </c>
      <c r="I44" s="282" t="s">
        <v>3659</v>
      </c>
      <c r="J44" s="4314">
        <f>SUMIF(125:125,I44,126:126)-SUMIF(125:125,C44,126:126)+100</f>
        <v>100</v>
      </c>
      <c r="K44" s="412"/>
      <c r="L44" s="2203"/>
      <c r="M44" s="2197"/>
      <c r="N44" s="2197"/>
      <c r="O44" s="2197"/>
      <c r="P44" s="4759"/>
      <c r="Q44" s="3460" t="str">
        <f t="shared" si="11"/>
        <v>内部装修维护情况</v>
      </c>
      <c r="R44" s="4295" t="s">
        <v>13</v>
      </c>
      <c r="S44" s="3601">
        <f t="shared" si="12"/>
        <v>100</v>
      </c>
      <c r="T44" s="4295" t="s">
        <v>13</v>
      </c>
      <c r="U44" s="3601">
        <f t="shared" si="13"/>
        <v>100</v>
      </c>
      <c r="V44" s="4295" t="s">
        <v>13</v>
      </c>
      <c r="W44" s="3601">
        <f t="shared" si="14"/>
        <v>100</v>
      </c>
      <c r="X44" s="1002"/>
      <c r="Y44" s="4761"/>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17">
        <f>SUMIF(127:127,E45,128:128)-SUMIF(127:127,C45,128:128)+100</f>
        <v>100</v>
      </c>
      <c r="G45" s="265"/>
      <c r="H45" s="4310">
        <f>SUMIF(127:127,G45,128:128)-SUMIF(127:127,C45,128:128)+100</f>
        <v>100</v>
      </c>
      <c r="I45" s="265"/>
      <c r="J45" s="4310">
        <f>SUMIF(127:127,I45,128:128)-SUMIF(127:127,C45,128:128)+100</f>
        <v>100</v>
      </c>
      <c r="K45" s="413"/>
      <c r="L45" s="2198"/>
      <c r="M45" s="2199"/>
      <c r="N45" s="2199"/>
      <c r="O45" s="2199"/>
      <c r="P45" s="4759"/>
      <c r="Q45" s="3457">
        <f t="shared" si="11"/>
        <v>111</v>
      </c>
      <c r="R45" s="4170" t="s">
        <v>13</v>
      </c>
      <c r="S45" s="3600">
        <f t="shared" si="12"/>
        <v>100</v>
      </c>
      <c r="T45" s="4170" t="s">
        <v>13</v>
      </c>
      <c r="U45" s="3600">
        <f t="shared" si="13"/>
        <v>100</v>
      </c>
      <c r="V45" s="4170" t="s">
        <v>13</v>
      </c>
      <c r="W45" s="3600">
        <f t="shared" si="14"/>
        <v>100</v>
      </c>
      <c r="X45" s="515"/>
      <c r="Y45" s="4761"/>
      <c r="Z45" s="28">
        <f t="shared" si="15"/>
        <v>111</v>
      </c>
      <c r="AA45" s="516">
        <f t="shared" si="3"/>
        <v>1</v>
      </c>
      <c r="AB45" s="516">
        <f t="shared" si="4"/>
        <v>1</v>
      </c>
      <c r="AC45" s="1556">
        <f t="shared" si="5"/>
        <v>1</v>
      </c>
    </row>
    <row r="46" spans="1:29" ht="15">
      <c r="A46" s="287"/>
      <c r="B46" s="837">
        <v>111</v>
      </c>
      <c r="C46" s="266"/>
      <c r="D46" s="3285">
        <v>100</v>
      </c>
      <c r="E46" s="265"/>
      <c r="F46" s="4316">
        <f>SUMIF(129:129,E46,130:130)-SUMIF(129:129,C46,130:130)+100</f>
        <v>100</v>
      </c>
      <c r="G46" s="265"/>
      <c r="H46" s="4314">
        <f>SUMIF(129:129,G46,130:130)-SUMIF(129:129,C46,130:130)+100</f>
        <v>100</v>
      </c>
      <c r="I46" s="265"/>
      <c r="J46" s="4314">
        <f>SUMIF(129:129,I46,130:130)-SUMIF(129:129,C46,130:130)+100</f>
        <v>100</v>
      </c>
      <c r="K46" s="413"/>
      <c r="L46" s="2203"/>
      <c r="M46" s="2197"/>
      <c r="N46" s="2197"/>
      <c r="O46" s="2197"/>
      <c r="P46" s="4759"/>
      <c r="Q46" s="3460">
        <f t="shared" si="11"/>
        <v>111</v>
      </c>
      <c r="R46" s="4295" t="s">
        <v>13</v>
      </c>
      <c r="S46" s="3601">
        <f t="shared" si="12"/>
        <v>100</v>
      </c>
      <c r="T46" s="4295" t="s">
        <v>13</v>
      </c>
      <c r="U46" s="3601">
        <f t="shared" si="13"/>
        <v>100</v>
      </c>
      <c r="V46" s="4295" t="s">
        <v>13</v>
      </c>
      <c r="W46" s="3601">
        <f t="shared" si="14"/>
        <v>100</v>
      </c>
      <c r="X46" s="1002"/>
      <c r="Y46" s="4761"/>
      <c r="Z46" s="1003">
        <f t="shared" si="15"/>
        <v>111</v>
      </c>
      <c r="AA46" s="1000">
        <f t="shared" si="3"/>
        <v>1</v>
      </c>
      <c r="AB46" s="1000">
        <f t="shared" si="4"/>
        <v>1</v>
      </c>
      <c r="AC46" s="1559">
        <f t="shared" si="5"/>
        <v>1</v>
      </c>
    </row>
    <row r="47" spans="1:29" ht="15.75" thickBot="1">
      <c r="A47" s="292"/>
      <c r="B47" s="1502">
        <v>111</v>
      </c>
      <c r="C47" s="268"/>
      <c r="D47" s="3286">
        <v>100</v>
      </c>
      <c r="E47" s="265"/>
      <c r="F47" s="4318">
        <f>SUMIF(131:131,E47,132:132)-SUMIF(131:131,C47,132:132)+100</f>
        <v>100</v>
      </c>
      <c r="G47" s="265"/>
      <c r="H47" s="4311">
        <f>SUMIF(131:131,G47,132:132)-SUMIF(131:131,C47,132:132)+100</f>
        <v>100</v>
      </c>
      <c r="I47" s="265"/>
      <c r="J47" s="4311">
        <f>SUMIF(131:131,I47,132:132)-SUMIF(131:131,C47,132:132)+100</f>
        <v>100</v>
      </c>
      <c r="K47" s="413"/>
      <c r="L47" s="2203"/>
      <c r="M47" s="2197"/>
      <c r="N47" s="2197"/>
      <c r="O47" s="2197"/>
      <c r="P47" s="4760"/>
      <c r="Q47" s="3460">
        <f t="shared" si="11"/>
        <v>111</v>
      </c>
      <c r="R47" s="4295" t="s">
        <v>13</v>
      </c>
      <c r="S47" s="3601">
        <f t="shared" si="12"/>
        <v>100</v>
      </c>
      <c r="T47" s="4295" t="s">
        <v>13</v>
      </c>
      <c r="U47" s="3601">
        <f t="shared" si="13"/>
        <v>100</v>
      </c>
      <c r="V47" s="4295" t="s">
        <v>13</v>
      </c>
      <c r="W47" s="3601">
        <f t="shared" si="14"/>
        <v>100</v>
      </c>
      <c r="X47" s="1002"/>
      <c r="Y47" s="4762"/>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65" t="str">
        <f>A48</f>
        <v>成交单价（元/平方米）</v>
      </c>
      <c r="Q48" s="4754"/>
      <c r="R48" s="4755">
        <f>E48</f>
        <v>0</v>
      </c>
      <c r="S48" s="4755"/>
      <c r="T48" s="4755">
        <f>G48</f>
        <v>0</v>
      </c>
      <c r="U48" s="4755"/>
      <c r="V48" s="4755">
        <f>I48</f>
        <v>0</v>
      </c>
      <c r="W48" s="4755"/>
      <c r="X48" s="272"/>
      <c r="Y48" s="520"/>
      <c r="Z48" s="272"/>
      <c r="AA48" s="272"/>
      <c r="AB48" s="272"/>
      <c r="AC48" s="426"/>
    </row>
    <row r="49" spans="1:29" ht="15.75" thickBot="1">
      <c r="A49" s="296" t="s">
        <v>1711</v>
      </c>
      <c r="B49" s="297"/>
      <c r="C49" s="4293">
        <f>R50</f>
        <v>0</v>
      </c>
      <c r="D49" s="4462" t="s">
        <v>2053</v>
      </c>
      <c r="E49" s="4304">
        <f>R49</f>
        <v>0</v>
      </c>
      <c r="F49" s="3182"/>
      <c r="G49" s="4293">
        <f>T49</f>
        <v>0</v>
      </c>
      <c r="H49" s="3182"/>
      <c r="I49" s="4304">
        <f>V49</f>
        <v>0</v>
      </c>
      <c r="J49" s="3182"/>
      <c r="K49" s="3237">
        <f>F49+H49+J49</f>
        <v>0</v>
      </c>
      <c r="L49" s="2205"/>
      <c r="M49" s="2197"/>
      <c r="N49" s="2197"/>
      <c r="O49" s="2197"/>
      <c r="P49" s="4765" t="str">
        <f>A49</f>
        <v>比较价值（元/平方米）</v>
      </c>
      <c r="Q49" s="4754"/>
      <c r="R49" s="4755">
        <f>IF(F1="售价",ROUND(PRODUCT(R48,AA7:AA47),0),ROUND(PRODUCT(R48,AA7:AA47),1))</f>
        <v>0</v>
      </c>
      <c r="S49" s="4755"/>
      <c r="T49" s="4755">
        <f>IF(F1="售价",ROUND(PRODUCT(T48,AB7:AB47),0),ROUND(PRODUCT(T48,AB7:AB47),1))</f>
        <v>0</v>
      </c>
      <c r="U49" s="4755"/>
      <c r="V49" s="4755">
        <f>IF(F1="售价",ROUND(PRODUCT(V48,AC7:AC47),0),ROUND(PRODUCT(V48,AC7:AC47),1))</f>
        <v>0</v>
      </c>
      <c r="W49" s="4755"/>
      <c r="X49" s="272"/>
      <c r="Y49" s="272"/>
      <c r="Z49" s="272"/>
      <c r="AA49" s="272"/>
      <c r="AB49" s="272"/>
      <c r="AC49" s="426"/>
    </row>
    <row r="50" spans="1:29" ht="15.75" thickBot="1">
      <c r="A50" s="298" t="s">
        <v>1712</v>
      </c>
      <c r="B50" s="299"/>
      <c r="C50" s="4305">
        <f>R50</f>
        <v>0</v>
      </c>
      <c r="D50" s="848"/>
      <c r="E50" s="848"/>
      <c r="F50" s="848"/>
      <c r="G50" s="848"/>
      <c r="H50" s="848"/>
      <c r="I50" s="848"/>
      <c r="J50" s="300"/>
      <c r="K50" s="522"/>
      <c r="L50" s="2205"/>
      <c r="M50" s="2197"/>
      <c r="N50" s="2197"/>
      <c r="O50" s="2197"/>
      <c r="P50" s="4886" t="str">
        <f>A50</f>
        <v>估价对象XX用房的比较价值（楼面单价，元/平方米）</v>
      </c>
      <c r="Q50" s="4887"/>
      <c r="R50" s="4888">
        <f>IF(F1="售价",ROUND(IF(D49="简单平均",AVERAGE(R49:V49),R49*F49+T49*H49+V49*J49),0),ROUND(IF(D49="简单平均",AVERAGE(R49:V49),R49*F49+T49*H49+V49*J49),1))</f>
        <v>0</v>
      </c>
      <c r="S50" s="4888"/>
      <c r="T50" s="4888"/>
      <c r="U50" s="4888"/>
      <c r="V50" s="4888"/>
      <c r="W50" s="4888"/>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3" t="s">
        <v>4017</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4" t="s">
        <v>4018</v>
      </c>
      <c r="D87" s="4474" t="s">
        <v>4019</v>
      </c>
      <c r="E87" s="4474" t="s">
        <v>4020</v>
      </c>
      <c r="F87" s="4474" t="s">
        <v>4021</v>
      </c>
      <c r="G87" s="4474" t="s">
        <v>4022</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4"/>
      <c r="D89" s="4474"/>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0" t="s">
        <v>4024</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4" t="s">
        <v>4025</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4" t="s">
        <v>4027</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4" t="s">
        <v>4029</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4" t="s">
        <v>4031</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4" t="s">
        <v>4027</v>
      </c>
      <c r="D123" s="4474" t="s">
        <v>4032</v>
      </c>
      <c r="E123" s="4474" t="s">
        <v>4033</v>
      </c>
      <c r="F123" s="4475" t="s">
        <v>4034</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E1" workbookViewId="0">
      <selection activeCell="H21" sqref="H21"/>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3897</v>
      </c>
      <c r="B1" t="s">
        <v>3898</v>
      </c>
      <c r="C1" t="s">
        <v>3899</v>
      </c>
      <c r="D1" t="s">
        <v>3900</v>
      </c>
      <c r="E1" t="s">
        <v>3901</v>
      </c>
      <c r="F1" t="s">
        <v>3902</v>
      </c>
      <c r="G1" t="s">
        <v>3903</v>
      </c>
      <c r="H1" t="s">
        <v>3904</v>
      </c>
      <c r="I1" t="s">
        <v>3905</v>
      </c>
      <c r="J1" t="s">
        <v>3906</v>
      </c>
      <c r="K1" t="s">
        <v>3907</v>
      </c>
      <c r="L1" t="s">
        <v>3908</v>
      </c>
      <c r="M1" t="s">
        <v>3909</v>
      </c>
      <c r="N1" t="s">
        <v>3910</v>
      </c>
      <c r="O1" t="s">
        <v>3911</v>
      </c>
      <c r="P1" t="s">
        <v>3912</v>
      </c>
      <c r="Q1" t="s">
        <v>3913</v>
      </c>
      <c r="R1" t="s">
        <v>3914</v>
      </c>
      <c r="S1" t="s">
        <v>3915</v>
      </c>
      <c r="T1" t="s">
        <v>3916</v>
      </c>
      <c r="U1" t="s">
        <v>3917</v>
      </c>
    </row>
    <row r="2" spans="1:21">
      <c r="A2" t="s">
        <v>3918</v>
      </c>
      <c r="B2" t="s">
        <v>3855</v>
      </c>
      <c r="C2" t="s">
        <v>3919</v>
      </c>
      <c r="D2" t="s">
        <v>3920</v>
      </c>
      <c r="E2">
        <v>79959.070000000007</v>
      </c>
      <c r="F2">
        <v>266129</v>
      </c>
      <c r="G2" t="s">
        <v>3921</v>
      </c>
      <c r="H2" t="s">
        <v>3922</v>
      </c>
      <c r="I2" t="s">
        <v>3923</v>
      </c>
      <c r="J2" t="s">
        <v>3924</v>
      </c>
      <c r="K2" t="s">
        <v>3925</v>
      </c>
      <c r="L2" t="s">
        <v>3926</v>
      </c>
      <c r="M2" t="s">
        <v>3927</v>
      </c>
      <c r="N2" t="s">
        <v>3928</v>
      </c>
      <c r="O2">
        <v>294800</v>
      </c>
      <c r="P2">
        <v>59000</v>
      </c>
      <c r="Q2">
        <v>294800</v>
      </c>
      <c r="R2">
        <v>36868.86</v>
      </c>
      <c r="S2">
        <v>2457.92</v>
      </c>
      <c r="T2">
        <v>11077</v>
      </c>
      <c r="U2">
        <v>0</v>
      </c>
    </row>
    <row r="3" spans="1:21">
      <c r="A3" t="s">
        <v>3929</v>
      </c>
      <c r="B3" t="s">
        <v>3855</v>
      </c>
      <c r="C3" t="s">
        <v>3919</v>
      </c>
      <c r="D3" t="s">
        <v>3930</v>
      </c>
      <c r="E3">
        <v>32636.74</v>
      </c>
      <c r="F3">
        <v>78328</v>
      </c>
      <c r="G3" t="s">
        <v>3921</v>
      </c>
      <c r="H3" t="s">
        <v>3931</v>
      </c>
      <c r="I3" t="s">
        <v>3932</v>
      </c>
      <c r="J3" t="s">
        <v>3933</v>
      </c>
      <c r="K3" t="s">
        <v>3925</v>
      </c>
      <c r="L3" t="s">
        <v>3934</v>
      </c>
      <c r="M3" t="s">
        <v>3927</v>
      </c>
      <c r="N3" t="s">
        <v>3935</v>
      </c>
      <c r="O3">
        <v>65000</v>
      </c>
      <c r="P3">
        <v>13000</v>
      </c>
      <c r="Q3">
        <v>65000</v>
      </c>
      <c r="R3">
        <v>19916.2</v>
      </c>
      <c r="S3">
        <v>1327.75</v>
      </c>
      <c r="T3">
        <v>8298</v>
      </c>
      <c r="U3">
        <v>0</v>
      </c>
    </row>
    <row r="4" spans="1:21">
      <c r="A4" t="s">
        <v>3936</v>
      </c>
      <c r="B4" t="s">
        <v>3855</v>
      </c>
      <c r="C4" t="s">
        <v>3919</v>
      </c>
      <c r="D4" t="s">
        <v>3930</v>
      </c>
      <c r="E4">
        <v>64012.4</v>
      </c>
      <c r="F4">
        <v>192037.19</v>
      </c>
      <c r="G4" t="s">
        <v>3921</v>
      </c>
      <c r="H4" t="s">
        <v>3931</v>
      </c>
      <c r="I4" t="s">
        <v>3937</v>
      </c>
      <c r="J4" t="s">
        <v>3938</v>
      </c>
      <c r="K4" t="s">
        <v>3925</v>
      </c>
      <c r="L4" t="s">
        <v>3939</v>
      </c>
      <c r="M4" t="s">
        <v>3927</v>
      </c>
      <c r="N4" t="s">
        <v>3940</v>
      </c>
      <c r="O4">
        <v>177000</v>
      </c>
      <c r="P4">
        <v>36000</v>
      </c>
      <c r="Q4">
        <v>177000</v>
      </c>
      <c r="R4">
        <v>27650.89</v>
      </c>
      <c r="S4">
        <v>1843.39</v>
      </c>
      <c r="T4">
        <v>9217</v>
      </c>
      <c r="U4">
        <v>0</v>
      </c>
    </row>
    <row r="5" spans="1:21">
      <c r="A5" t="s">
        <v>3941</v>
      </c>
      <c r="B5" t="s">
        <v>3855</v>
      </c>
      <c r="C5" t="s">
        <v>3919</v>
      </c>
      <c r="D5" t="s">
        <v>3930</v>
      </c>
      <c r="E5">
        <v>42354.29</v>
      </c>
      <c r="F5">
        <v>102188</v>
      </c>
      <c r="G5" t="s">
        <v>3942</v>
      </c>
      <c r="H5" t="s">
        <v>3943</v>
      </c>
      <c r="I5" t="s">
        <v>3944</v>
      </c>
      <c r="J5" t="s">
        <v>3945</v>
      </c>
      <c r="K5" t="s">
        <v>3925</v>
      </c>
      <c r="L5" t="s">
        <v>3946</v>
      </c>
      <c r="M5" t="s">
        <v>3927</v>
      </c>
      <c r="N5" t="s">
        <v>3947</v>
      </c>
      <c r="O5">
        <v>204500</v>
      </c>
      <c r="P5">
        <v>41000</v>
      </c>
      <c r="Q5">
        <v>204500</v>
      </c>
      <c r="R5">
        <v>48283.18</v>
      </c>
      <c r="S5">
        <v>3218.88</v>
      </c>
      <c r="T5">
        <v>20012</v>
      </c>
      <c r="U5">
        <v>0</v>
      </c>
    </row>
    <row r="6" spans="1:21">
      <c r="A6" t="s">
        <v>3948</v>
      </c>
      <c r="B6" t="s">
        <v>3855</v>
      </c>
      <c r="C6" t="s">
        <v>3919</v>
      </c>
      <c r="D6" t="s">
        <v>3949</v>
      </c>
      <c r="E6">
        <v>12136.3</v>
      </c>
      <c r="F6">
        <v>42477</v>
      </c>
      <c r="G6" t="s">
        <v>3921</v>
      </c>
      <c r="H6" t="s">
        <v>3950</v>
      </c>
      <c r="I6" t="s">
        <v>3923</v>
      </c>
      <c r="J6" t="s">
        <v>3951</v>
      </c>
      <c r="K6" t="s">
        <v>3925</v>
      </c>
      <c r="L6" t="s">
        <v>3952</v>
      </c>
      <c r="M6" t="s">
        <v>3927</v>
      </c>
      <c r="N6" t="s">
        <v>3953</v>
      </c>
      <c r="O6">
        <v>71000</v>
      </c>
      <c r="P6">
        <v>14200</v>
      </c>
      <c r="Q6">
        <v>71000</v>
      </c>
      <c r="R6">
        <v>58502.18</v>
      </c>
      <c r="S6">
        <v>3900.15</v>
      </c>
      <c r="T6">
        <v>16715</v>
      </c>
      <c r="U6">
        <v>0</v>
      </c>
    </row>
    <row r="7" spans="1:21">
      <c r="A7" t="s">
        <v>3954</v>
      </c>
      <c r="B7" t="s">
        <v>3855</v>
      </c>
      <c r="C7" t="s">
        <v>3919</v>
      </c>
      <c r="D7" t="s">
        <v>3930</v>
      </c>
      <c r="E7">
        <v>28676.63</v>
      </c>
      <c r="F7">
        <v>114706.51</v>
      </c>
      <c r="G7" t="s">
        <v>3921</v>
      </c>
      <c r="H7" t="s">
        <v>3955</v>
      </c>
      <c r="I7" t="s">
        <v>3956</v>
      </c>
      <c r="J7" t="s">
        <v>3957</v>
      </c>
      <c r="K7" t="s">
        <v>3925</v>
      </c>
      <c r="L7" t="s">
        <v>3958</v>
      </c>
      <c r="M7" t="s">
        <v>3927</v>
      </c>
      <c r="N7" t="s">
        <v>3959</v>
      </c>
      <c r="O7">
        <v>175500</v>
      </c>
      <c r="P7">
        <v>35500</v>
      </c>
      <c r="Q7">
        <v>175500</v>
      </c>
      <c r="R7">
        <v>61199.66</v>
      </c>
      <c r="S7">
        <v>4079.98</v>
      </c>
      <c r="T7">
        <v>15300</v>
      </c>
      <c r="U7">
        <v>0</v>
      </c>
    </row>
    <row r="8" spans="1:21">
      <c r="A8" t="s">
        <v>3960</v>
      </c>
      <c r="B8" t="s">
        <v>3855</v>
      </c>
      <c r="C8" t="s">
        <v>3919</v>
      </c>
      <c r="D8" t="s">
        <v>3961</v>
      </c>
      <c r="E8">
        <v>30159.25</v>
      </c>
      <c r="F8">
        <v>138421</v>
      </c>
      <c r="G8" t="s">
        <v>3921</v>
      </c>
      <c r="H8" t="s">
        <v>3950</v>
      </c>
      <c r="I8" t="s">
        <v>3956</v>
      </c>
      <c r="J8" t="s">
        <v>3962</v>
      </c>
      <c r="K8" t="s">
        <v>3925</v>
      </c>
      <c r="L8" t="s">
        <v>3963</v>
      </c>
      <c r="M8" t="s">
        <v>3927</v>
      </c>
      <c r="N8" t="s">
        <v>3964</v>
      </c>
      <c r="O8">
        <v>230100</v>
      </c>
      <c r="P8">
        <v>46100</v>
      </c>
      <c r="Q8">
        <v>230100</v>
      </c>
      <c r="R8">
        <v>76295</v>
      </c>
      <c r="S8">
        <v>5086.33</v>
      </c>
      <c r="T8">
        <v>16623</v>
      </c>
      <c r="U8">
        <v>0</v>
      </c>
    </row>
    <row r="9" spans="1:21">
      <c r="A9" t="s">
        <v>3965</v>
      </c>
      <c r="B9" t="s">
        <v>3855</v>
      </c>
      <c r="C9" t="s">
        <v>3919</v>
      </c>
      <c r="D9" t="s">
        <v>3961</v>
      </c>
      <c r="E9">
        <v>35629.120000000003</v>
      </c>
      <c r="F9">
        <v>100429</v>
      </c>
      <c r="G9" t="s">
        <v>3921</v>
      </c>
      <c r="H9" t="s">
        <v>3922</v>
      </c>
      <c r="I9" t="s">
        <v>3956</v>
      </c>
      <c r="J9" t="s">
        <v>3966</v>
      </c>
      <c r="K9" t="s">
        <v>3925</v>
      </c>
      <c r="L9" t="s">
        <v>3963</v>
      </c>
      <c r="M9" t="s">
        <v>3927</v>
      </c>
      <c r="N9" t="s">
        <v>3964</v>
      </c>
      <c r="O9">
        <v>166700</v>
      </c>
      <c r="P9">
        <v>33400</v>
      </c>
      <c r="Q9">
        <v>166700</v>
      </c>
      <c r="R9">
        <v>46787.57</v>
      </c>
      <c r="S9">
        <v>3119.17</v>
      </c>
      <c r="T9">
        <v>16599</v>
      </c>
      <c r="U9">
        <v>0</v>
      </c>
    </row>
    <row r="10" spans="1:21">
      <c r="A10" t="s">
        <v>3967</v>
      </c>
      <c r="B10" t="s">
        <v>3855</v>
      </c>
      <c r="C10" t="s">
        <v>3919</v>
      </c>
      <c r="D10" t="s">
        <v>3968</v>
      </c>
      <c r="E10">
        <v>59747.77</v>
      </c>
      <c r="F10">
        <v>89622</v>
      </c>
      <c r="G10" t="s">
        <v>3921</v>
      </c>
      <c r="H10" t="s">
        <v>3931</v>
      </c>
      <c r="I10" t="s">
        <v>3969</v>
      </c>
      <c r="J10" t="s">
        <v>3970</v>
      </c>
      <c r="K10" t="s">
        <v>3925</v>
      </c>
      <c r="L10" t="s">
        <v>3971</v>
      </c>
      <c r="M10" t="s">
        <v>3927</v>
      </c>
      <c r="N10" t="s">
        <v>3972</v>
      </c>
      <c r="O10">
        <v>146800</v>
      </c>
      <c r="P10">
        <v>44000</v>
      </c>
      <c r="Q10">
        <v>146800</v>
      </c>
      <c r="R10">
        <v>24569.95</v>
      </c>
      <c r="S10">
        <v>1638</v>
      </c>
      <c r="T10">
        <v>16380</v>
      </c>
      <c r="U10">
        <v>0</v>
      </c>
    </row>
    <row r="11" spans="1:21">
      <c r="A11" t="s">
        <v>3973</v>
      </c>
      <c r="B11" t="s">
        <v>3855</v>
      </c>
      <c r="C11" t="s">
        <v>3919</v>
      </c>
      <c r="D11" t="s">
        <v>3968</v>
      </c>
      <c r="E11">
        <v>31420.65</v>
      </c>
      <c r="F11">
        <v>65983</v>
      </c>
      <c r="G11" t="s">
        <v>3921</v>
      </c>
      <c r="H11" t="s">
        <v>3931</v>
      </c>
      <c r="I11" t="s">
        <v>3969</v>
      </c>
      <c r="J11" t="s">
        <v>3974</v>
      </c>
      <c r="K11" t="s">
        <v>3925</v>
      </c>
      <c r="L11" t="s">
        <v>3971</v>
      </c>
      <c r="M11" t="s">
        <v>3927</v>
      </c>
      <c r="N11" t="s">
        <v>3975</v>
      </c>
      <c r="O11">
        <v>108100</v>
      </c>
      <c r="P11">
        <v>33000</v>
      </c>
      <c r="Q11">
        <v>108100</v>
      </c>
      <c r="R11">
        <v>34404.120000000003</v>
      </c>
      <c r="S11">
        <v>2293.61</v>
      </c>
      <c r="T11">
        <v>16383</v>
      </c>
      <c r="U11">
        <v>0</v>
      </c>
    </row>
    <row r="12" spans="1:21">
      <c r="A12" t="s">
        <v>3976</v>
      </c>
      <c r="B12" t="s">
        <v>3855</v>
      </c>
      <c r="C12" t="s">
        <v>3919</v>
      </c>
      <c r="D12" t="s">
        <v>3977</v>
      </c>
      <c r="E12">
        <v>16863.939999999999</v>
      </c>
      <c r="F12">
        <v>87923.61</v>
      </c>
      <c r="G12" t="s">
        <v>3921</v>
      </c>
      <c r="H12" t="s">
        <v>3950</v>
      </c>
      <c r="I12" t="s">
        <v>3956</v>
      </c>
      <c r="J12" t="s">
        <v>3978</v>
      </c>
      <c r="K12" t="s">
        <v>3925</v>
      </c>
      <c r="L12" t="s">
        <v>3979</v>
      </c>
      <c r="M12" t="s">
        <v>3927</v>
      </c>
      <c r="N12" t="s">
        <v>3980</v>
      </c>
      <c r="O12">
        <v>211000</v>
      </c>
      <c r="P12">
        <v>64000</v>
      </c>
      <c r="Q12">
        <v>211000</v>
      </c>
      <c r="R12">
        <v>125119.03999999999</v>
      </c>
      <c r="S12">
        <v>8341.27</v>
      </c>
      <c r="T12">
        <v>23998</v>
      </c>
      <c r="U12">
        <v>0</v>
      </c>
    </row>
    <row r="13" spans="1:21">
      <c r="A13" t="s">
        <v>3981</v>
      </c>
      <c r="B13" t="s">
        <v>3855</v>
      </c>
      <c r="C13" t="s">
        <v>3919</v>
      </c>
      <c r="D13" t="s">
        <v>3982</v>
      </c>
      <c r="E13">
        <v>69848.44</v>
      </c>
      <c r="F13">
        <v>146863</v>
      </c>
      <c r="G13" t="s">
        <v>3921</v>
      </c>
      <c r="H13" t="s">
        <v>3931</v>
      </c>
      <c r="I13" t="s">
        <v>3969</v>
      </c>
      <c r="J13" t="s">
        <v>3974</v>
      </c>
      <c r="K13" t="s">
        <v>3925</v>
      </c>
      <c r="L13" t="s">
        <v>3983</v>
      </c>
      <c r="M13" t="s">
        <v>3927</v>
      </c>
      <c r="N13" t="s">
        <v>3984</v>
      </c>
      <c r="O13">
        <v>220000</v>
      </c>
      <c r="P13">
        <v>66000</v>
      </c>
      <c r="Q13">
        <v>220000</v>
      </c>
      <c r="R13">
        <v>31496.76</v>
      </c>
      <c r="S13">
        <v>2099.7800000000002</v>
      </c>
      <c r="T13">
        <v>14980</v>
      </c>
      <c r="U13">
        <v>0</v>
      </c>
    </row>
    <row r="14" spans="1:21">
      <c r="A14" t="s">
        <v>3985</v>
      </c>
      <c r="B14" t="s">
        <v>3855</v>
      </c>
      <c r="C14" t="s">
        <v>3919</v>
      </c>
      <c r="D14" t="s">
        <v>3982</v>
      </c>
      <c r="E14">
        <v>66079.679999999993</v>
      </c>
      <c r="F14">
        <v>111429</v>
      </c>
      <c r="G14" t="s">
        <v>3921</v>
      </c>
      <c r="H14" t="s">
        <v>3931</v>
      </c>
      <c r="I14" t="s">
        <v>3969</v>
      </c>
      <c r="J14" t="s">
        <v>3986</v>
      </c>
      <c r="K14" t="s">
        <v>3925</v>
      </c>
      <c r="L14" t="s">
        <v>3983</v>
      </c>
      <c r="M14" t="s">
        <v>3927</v>
      </c>
      <c r="N14" t="s">
        <v>3975</v>
      </c>
      <c r="O14">
        <v>135000</v>
      </c>
      <c r="P14">
        <v>40000</v>
      </c>
      <c r="Q14">
        <v>135000</v>
      </c>
      <c r="R14">
        <v>20429.88</v>
      </c>
      <c r="S14">
        <v>1361.99</v>
      </c>
      <c r="T14">
        <v>12115</v>
      </c>
      <c r="U14">
        <v>0</v>
      </c>
    </row>
    <row r="15" spans="1:21">
      <c r="A15" t="s">
        <v>3987</v>
      </c>
      <c r="B15" t="s">
        <v>3855</v>
      </c>
      <c r="C15" t="s">
        <v>3919</v>
      </c>
      <c r="D15" t="s">
        <v>3988</v>
      </c>
      <c r="E15">
        <v>35244.94</v>
      </c>
      <c r="F15">
        <v>123357</v>
      </c>
      <c r="G15" t="s">
        <v>3921</v>
      </c>
      <c r="H15" t="s">
        <v>3950</v>
      </c>
      <c r="I15" t="s">
        <v>3956</v>
      </c>
      <c r="J15" t="s">
        <v>3951</v>
      </c>
      <c r="K15" t="s">
        <v>3925</v>
      </c>
      <c r="L15" t="s">
        <v>3989</v>
      </c>
      <c r="M15" t="s">
        <v>3927</v>
      </c>
      <c r="N15" t="s">
        <v>3990</v>
      </c>
      <c r="O15">
        <v>160000</v>
      </c>
      <c r="P15">
        <v>48000</v>
      </c>
      <c r="Q15">
        <v>354000</v>
      </c>
      <c r="R15">
        <v>100439.95</v>
      </c>
      <c r="S15">
        <v>6696</v>
      </c>
      <c r="T15">
        <v>28697</v>
      </c>
      <c r="U15">
        <v>121.25</v>
      </c>
    </row>
    <row r="16" spans="1:21">
      <c r="A16" t="s">
        <v>3991</v>
      </c>
      <c r="B16" t="s">
        <v>3855</v>
      </c>
      <c r="C16" t="s">
        <v>3919</v>
      </c>
      <c r="D16" t="s">
        <v>3992</v>
      </c>
      <c r="E16">
        <v>27377.24</v>
      </c>
      <c r="F16">
        <v>62968</v>
      </c>
      <c r="G16" t="s">
        <v>3921</v>
      </c>
      <c r="H16" t="s">
        <v>3931</v>
      </c>
      <c r="I16" t="s">
        <v>3969</v>
      </c>
      <c r="J16" t="s">
        <v>3993</v>
      </c>
      <c r="K16" t="s">
        <v>3925</v>
      </c>
      <c r="L16" t="s">
        <v>3994</v>
      </c>
      <c r="M16" t="s">
        <v>3927</v>
      </c>
      <c r="N16" t="s">
        <v>3984</v>
      </c>
      <c r="O16">
        <v>65000</v>
      </c>
      <c r="P16">
        <v>20000</v>
      </c>
      <c r="Q16">
        <v>65000</v>
      </c>
      <c r="R16">
        <v>23742.35</v>
      </c>
      <c r="S16">
        <v>1582.82</v>
      </c>
      <c r="T16">
        <v>10323</v>
      </c>
      <c r="U16">
        <v>0</v>
      </c>
    </row>
    <row r="20" spans="1:24">
      <c r="A20" t="s">
        <v>3897</v>
      </c>
      <c r="B20" t="s">
        <v>3898</v>
      </c>
      <c r="C20" t="s">
        <v>3899</v>
      </c>
      <c r="D20" t="s">
        <v>3900</v>
      </c>
      <c r="E20" t="s">
        <v>3901</v>
      </c>
      <c r="F20" t="s">
        <v>3902</v>
      </c>
      <c r="G20" t="s">
        <v>3903</v>
      </c>
      <c r="H20" t="s">
        <v>3904</v>
      </c>
      <c r="I20" t="s">
        <v>3905</v>
      </c>
      <c r="J20" t="s">
        <v>3906</v>
      </c>
      <c r="K20" t="s">
        <v>3907</v>
      </c>
      <c r="L20" t="s">
        <v>3908</v>
      </c>
      <c r="M20" t="s">
        <v>3909</v>
      </c>
      <c r="N20" t="s">
        <v>3910</v>
      </c>
      <c r="O20" t="s">
        <v>3911</v>
      </c>
      <c r="P20" t="s">
        <v>3912</v>
      </c>
      <c r="Q20" t="s">
        <v>3913</v>
      </c>
      <c r="R20" t="s">
        <v>3914</v>
      </c>
      <c r="S20" t="s">
        <v>3915</v>
      </c>
      <c r="T20" t="s">
        <v>3916</v>
      </c>
      <c r="U20" t="s">
        <v>3917</v>
      </c>
    </row>
    <row r="21" spans="1:24">
      <c r="A21" t="s">
        <v>3918</v>
      </c>
      <c r="B21" t="s">
        <v>3855</v>
      </c>
      <c r="C21" t="s">
        <v>3919</v>
      </c>
      <c r="D21" t="s">
        <v>3920</v>
      </c>
      <c r="E21">
        <v>79959.070000000007</v>
      </c>
      <c r="F21">
        <v>266129</v>
      </c>
      <c r="G21" t="s">
        <v>3921</v>
      </c>
      <c r="H21" s="4469" t="s">
        <v>4039</v>
      </c>
      <c r="I21" t="s">
        <v>3923</v>
      </c>
      <c r="J21" t="s">
        <v>3924</v>
      </c>
      <c r="K21" t="s">
        <v>3925</v>
      </c>
      <c r="L21" t="s">
        <v>3926</v>
      </c>
      <c r="M21" t="s">
        <v>3927</v>
      </c>
      <c r="N21" t="s">
        <v>3928</v>
      </c>
      <c r="O21">
        <v>294800</v>
      </c>
      <c r="P21">
        <v>59000</v>
      </c>
      <c r="Q21">
        <v>294800</v>
      </c>
      <c r="R21">
        <v>36868.86</v>
      </c>
      <c r="S21">
        <v>2457.92</v>
      </c>
      <c r="T21">
        <v>11077</v>
      </c>
      <c r="U21">
        <v>0</v>
      </c>
      <c r="V21">
        <v>1</v>
      </c>
      <c r="W21">
        <f>W22</f>
        <v>0.84289999999999998</v>
      </c>
      <c r="X21">
        <f>ROUND(T21*V21*W21,0)</f>
        <v>9337</v>
      </c>
    </row>
    <row r="22" spans="1:24">
      <c r="A22" t="s">
        <v>3929</v>
      </c>
      <c r="B22" t="s">
        <v>3855</v>
      </c>
      <c r="C22" t="s">
        <v>3919</v>
      </c>
      <c r="D22" t="s">
        <v>3930</v>
      </c>
      <c r="E22">
        <v>32636.74</v>
      </c>
      <c r="F22">
        <v>78328</v>
      </c>
      <c r="G22" t="s">
        <v>3921</v>
      </c>
      <c r="H22" t="s">
        <v>3931</v>
      </c>
      <c r="I22" t="s">
        <v>3932</v>
      </c>
      <c r="J22" t="s">
        <v>3933</v>
      </c>
      <c r="K22" t="s">
        <v>3925</v>
      </c>
      <c r="L22" t="s">
        <v>3934</v>
      </c>
      <c r="M22" t="s">
        <v>3927</v>
      </c>
      <c r="N22" t="s">
        <v>3935</v>
      </c>
      <c r="O22">
        <v>65000</v>
      </c>
      <c r="P22">
        <v>13000</v>
      </c>
      <c r="Q22">
        <v>65000</v>
      </c>
      <c r="R22">
        <v>19916.2</v>
      </c>
      <c r="S22">
        <v>1327.75</v>
      </c>
      <c r="T22">
        <v>8298</v>
      </c>
      <c r="U22">
        <v>0</v>
      </c>
      <c r="V22">
        <f>常用公式!C15</f>
        <v>1.4649000000000001</v>
      </c>
      <c r="W22">
        <f>'数据-取费表'!G16</f>
        <v>0.84289999999999998</v>
      </c>
      <c r="X22">
        <f>ROUND(T22*V22*W22,0)</f>
        <v>10246</v>
      </c>
    </row>
    <row r="23" spans="1:24">
      <c r="A23" t="s">
        <v>3936</v>
      </c>
      <c r="B23" t="s">
        <v>3855</v>
      </c>
      <c r="C23" t="s">
        <v>3919</v>
      </c>
      <c r="D23" t="s">
        <v>3930</v>
      </c>
      <c r="E23">
        <v>64012.4</v>
      </c>
      <c r="F23">
        <v>192037.19</v>
      </c>
      <c r="G23" t="s">
        <v>3921</v>
      </c>
      <c r="H23" t="s">
        <v>3931</v>
      </c>
      <c r="I23" t="s">
        <v>3937</v>
      </c>
      <c r="J23" t="s">
        <v>3938</v>
      </c>
      <c r="K23" t="s">
        <v>3925</v>
      </c>
      <c r="L23" t="s">
        <v>3939</v>
      </c>
      <c r="M23" t="s">
        <v>3927</v>
      </c>
      <c r="N23" t="s">
        <v>3940</v>
      </c>
      <c r="O23">
        <v>177000</v>
      </c>
      <c r="P23">
        <v>36000</v>
      </c>
      <c r="Q23">
        <v>177000</v>
      </c>
      <c r="R23">
        <v>27650.89</v>
      </c>
      <c r="S23">
        <v>1843.39</v>
      </c>
      <c r="T23">
        <v>9217</v>
      </c>
      <c r="U23">
        <v>0</v>
      </c>
      <c r="V23">
        <v>1</v>
      </c>
      <c r="W23">
        <f>W22</f>
        <v>0.84289999999999998</v>
      </c>
      <c r="X23">
        <f>ROUND(T23*V23*W23,0)</f>
        <v>7769</v>
      </c>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903" t="s">
        <v>450</v>
      </c>
      <c r="S1" s="4904"/>
      <c r="T1" s="4904"/>
      <c r="U1" s="4904"/>
      <c r="V1" s="4904"/>
      <c r="W1" s="4904"/>
      <c r="X1" s="2555"/>
      <c r="Y1" s="4903" t="s">
        <v>451</v>
      </c>
      <c r="Z1" s="4904"/>
      <c r="AA1" s="4904"/>
      <c r="AB1" s="4904"/>
      <c r="AC1" s="4904"/>
      <c r="AD1" s="4904"/>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903" t="s">
        <v>2732</v>
      </c>
      <c r="S33" s="4904"/>
      <c r="T33" s="4904"/>
      <c r="U33" s="4904"/>
      <c r="V33" s="4904"/>
      <c r="W33" s="4904"/>
      <c r="X33" s="2555"/>
      <c r="Y33" s="4903" t="s">
        <v>2733</v>
      </c>
      <c r="Z33" s="4904"/>
      <c r="AA33" s="4904"/>
      <c r="AB33" s="4904"/>
      <c r="AC33" s="4904"/>
      <c r="AD33" s="4904"/>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10" t="s">
        <v>446</v>
      </c>
      <c r="C1" s="4910"/>
      <c r="D1" s="4910"/>
      <c r="E1" s="4910"/>
      <c r="F1" s="4910"/>
      <c r="G1" s="4909" t="s">
        <v>447</v>
      </c>
      <c r="H1" s="4909"/>
      <c r="I1" s="4909"/>
      <c r="J1" s="4909"/>
      <c r="K1" s="4909"/>
      <c r="L1" s="4909"/>
      <c r="N1" s="4909" t="s">
        <v>448</v>
      </c>
      <c r="O1" s="4909"/>
      <c r="P1" s="4909"/>
      <c r="Q1" s="4909"/>
      <c r="S1" s="4909" t="s">
        <v>449</v>
      </c>
      <c r="T1" s="4909"/>
      <c r="U1" s="4909"/>
      <c r="V1" s="4909"/>
      <c r="X1" s="4908" t="s">
        <v>450</v>
      </c>
      <c r="Y1" s="4909"/>
      <c r="Z1" s="4909"/>
      <c r="AA1" s="4909"/>
      <c r="AB1" s="4909"/>
      <c r="AD1" s="4908" t="s">
        <v>451</v>
      </c>
      <c r="AE1" s="4909"/>
      <c r="AF1" s="4909"/>
      <c r="AG1" s="4909"/>
      <c r="AH1" s="4909"/>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6">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6"/>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6"/>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15"/>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11">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6"/>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6"/>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15"/>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11">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6"/>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6"/>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7"/>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05">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6"/>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6"/>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7"/>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05">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6"/>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6"/>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7"/>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12">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13"/>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13"/>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14"/>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05">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6"/>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6"/>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7"/>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05">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6">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6">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7">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05">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6">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6">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7">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05">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6">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6">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7">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05">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6">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6">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7">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05">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6">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6">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7">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05">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6">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6">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7">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05">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6">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6">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7">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05">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6">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6">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7">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05">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6">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6">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7">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05">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6">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6">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7">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8" t="s">
        <v>2744</v>
      </c>
      <c r="B1" s="4918"/>
      <c r="C1" s="4918"/>
      <c r="D1" s="4918"/>
      <c r="E1" s="4918"/>
      <c r="F1" s="4918"/>
      <c r="G1" s="4919"/>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16"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17"/>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6" t="str">
        <f>IF(项目基本情况!B9="房地产市场价值","估价结果一览表","结果表-2")</f>
        <v>结果表-2</v>
      </c>
      <c r="B1" s="4506"/>
      <c r="C1" s="4506"/>
      <c r="D1" s="4506"/>
      <c r="E1" s="4506"/>
      <c r="F1" s="4506"/>
      <c r="G1" s="4506"/>
      <c r="H1" s="4506"/>
      <c r="I1" s="4506"/>
    </row>
    <row r="2" spans="1:9" ht="30" customHeight="1" thickTop="1">
      <c r="A2" s="4507" t="s">
        <v>915</v>
      </c>
      <c r="B2" s="4507" t="s">
        <v>916</v>
      </c>
      <c r="C2" s="4507" t="s">
        <v>917</v>
      </c>
      <c r="D2" s="4507" t="str">
        <f>结果表!D116</f>
        <v>出让国有建设用地使用权价值</v>
      </c>
      <c r="E2" s="4507"/>
      <c r="F2" s="4507">
        <f>结果表!F116</f>
        <v>0</v>
      </c>
      <c r="G2" s="4507"/>
      <c r="H2" s="4507" t="str">
        <f>IF(项目基本情况!B9="房地产市场价值","房地产市场价值","房地产价值")</f>
        <v>房地产价值</v>
      </c>
      <c r="I2" s="4507"/>
    </row>
    <row r="3" spans="1:9" ht="15">
      <c r="A3" s="4502"/>
      <c r="B3" s="4502"/>
      <c r="C3" s="4502"/>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30115</v>
      </c>
      <c r="E4" s="607">
        <f ca="1">结果表!E118</f>
        <v>7585</v>
      </c>
      <c r="F4" s="607">
        <f ca="1">结果表!F118</f>
        <v>20245</v>
      </c>
      <c r="G4" s="607">
        <f ca="1">结果表!G118</f>
        <v>5098</v>
      </c>
      <c r="H4" s="607">
        <f ca="1">结果表!H118</f>
        <v>50360</v>
      </c>
      <c r="I4" s="607">
        <f ca="1">结果表!I118</f>
        <v>12683</v>
      </c>
    </row>
    <row r="5" spans="1:9" ht="30" customHeight="1">
      <c r="A5" s="4502" t="s">
        <v>914</v>
      </c>
      <c r="B5" s="4502"/>
      <c r="C5" s="4502"/>
      <c r="D5" s="4502" t="str">
        <f ca="1">结果表!D119</f>
        <v>叁亿零壹佰壹拾伍万元整</v>
      </c>
      <c r="E5" s="4502"/>
      <c r="F5" s="4502" t="str">
        <f ca="1">结果表!F119</f>
        <v>贰亿零贰佰肆拾伍万元整</v>
      </c>
      <c r="G5" s="4502"/>
      <c r="H5" s="4502" t="str">
        <f ca="1">结果表!H119</f>
        <v>伍亿零叁佰陆拾万元整</v>
      </c>
      <c r="I5" s="4502"/>
    </row>
    <row r="6" spans="1:9" ht="15.75">
      <c r="A6" s="4501" t="str">
        <f>结果表!A120</f>
        <v>估价师知悉的法定优先受偿款</v>
      </c>
      <c r="B6" s="4501"/>
      <c r="C6" s="4501"/>
      <c r="D6" s="4501">
        <f>结果表!D120</f>
        <v>0</v>
      </c>
      <c r="E6" s="4501"/>
      <c r="F6" s="4501"/>
      <c r="G6" s="4501"/>
      <c r="H6" s="4501"/>
      <c r="I6" s="4501"/>
    </row>
    <row r="7" spans="1:9" ht="15">
      <c r="A7" s="4502" t="s">
        <v>914</v>
      </c>
      <c r="B7" s="4502"/>
      <c r="C7" s="4502"/>
      <c r="D7" s="4503" t="str">
        <f>结果表!D121</f>
        <v>零元整</v>
      </c>
      <c r="E7" s="4504"/>
      <c r="F7" s="4504"/>
      <c r="G7" s="4504"/>
      <c r="H7" s="4504"/>
      <c r="I7" s="4505"/>
    </row>
    <row r="8" spans="1:9" ht="15.75">
      <c r="A8" s="4501" t="str">
        <f>结果表!A122</f>
        <v>房地产抵押价值</v>
      </c>
      <c r="B8" s="4501"/>
      <c r="C8" s="4501"/>
      <c r="D8" s="4501">
        <f ca="1">结果表!D122</f>
        <v>50360</v>
      </c>
      <c r="E8" s="4501"/>
      <c r="F8" s="4501"/>
      <c r="G8" s="4501"/>
      <c r="H8" s="4501"/>
      <c r="I8" s="4501"/>
    </row>
    <row r="9" spans="1:9" ht="15">
      <c r="A9" s="4502" t="s">
        <v>914</v>
      </c>
      <c r="B9" s="4502"/>
      <c r="C9" s="4502"/>
      <c r="D9" s="4502" t="str">
        <f ca="1">结果表!D123</f>
        <v>伍亿零叁佰陆拾万元整</v>
      </c>
      <c r="E9" s="4502"/>
      <c r="F9" s="4502"/>
      <c r="G9" s="4502"/>
      <c r="H9" s="4502"/>
      <c r="I9" s="4502"/>
    </row>
    <row r="10" spans="1:9" ht="15.75">
      <c r="A10" s="4501" t="str">
        <f>结果表!A124</f>
        <v/>
      </c>
      <c r="B10" s="4501"/>
      <c r="C10" s="4501"/>
      <c r="D10" s="4501" t="str">
        <f>结果表!D124</f>
        <v>——</v>
      </c>
      <c r="E10" s="4501"/>
      <c r="F10" s="4501"/>
      <c r="G10" s="4501"/>
      <c r="H10" s="4501"/>
      <c r="I10" s="4501"/>
    </row>
    <row r="11" spans="1:9" ht="15">
      <c r="A11" s="4502" t="s">
        <v>914</v>
      </c>
      <c r="B11" s="4502"/>
      <c r="C11" s="4502"/>
      <c r="D11" s="4502" t="e">
        <f>结果表!D125</f>
        <v>#VALUE!</v>
      </c>
      <c r="E11" s="4502"/>
      <c r="F11" s="4502"/>
      <c r="G11" s="4502"/>
      <c r="H11" s="4502"/>
      <c r="I11" s="4502"/>
    </row>
    <row r="12" spans="1:9" ht="15.75">
      <c r="A12" s="4501" t="str">
        <f>结果表!A126</f>
        <v/>
      </c>
      <c r="B12" s="4501"/>
      <c r="C12" s="4501"/>
      <c r="D12" s="4501" t="str">
        <f>结果表!D126</f>
        <v>——</v>
      </c>
      <c r="E12" s="4501"/>
      <c r="F12" s="4501"/>
      <c r="G12" s="4501"/>
      <c r="H12" s="4501"/>
      <c r="I12" s="4501"/>
    </row>
    <row r="13" spans="1:9" ht="15.75" thickBot="1">
      <c r="A13" s="4499" t="s">
        <v>914</v>
      </c>
      <c r="B13" s="4499"/>
      <c r="C13" s="4499"/>
      <c r="D13" s="4499" t="e">
        <f>结果表!D127</f>
        <v>#VALUE!</v>
      </c>
      <c r="E13" s="4499"/>
      <c r="F13" s="4499"/>
      <c r="G13" s="4499"/>
      <c r="H13" s="4499"/>
      <c r="I13" s="4499"/>
    </row>
    <row r="14" spans="1:9" ht="15" thickTop="1">
      <c r="A14" s="4500" t="s">
        <v>919</v>
      </c>
      <c r="B14" s="4500"/>
      <c r="C14" s="4500"/>
      <c r="D14" s="4500"/>
      <c r="E14" s="4500"/>
      <c r="F14" s="4500"/>
      <c r="G14" s="4500"/>
      <c r="H14" s="4500"/>
      <c r="I14" s="4500"/>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3" sqref="G13"/>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69" t="s">
        <v>3868</v>
      </c>
      <c r="C1" s="4469" t="s">
        <v>3869</v>
      </c>
    </row>
    <row r="2" spans="1:9">
      <c r="A2" s="4469" t="s">
        <v>3870</v>
      </c>
      <c r="B2">
        <v>3996.73</v>
      </c>
      <c r="C2">
        <v>3515.45</v>
      </c>
    </row>
    <row r="3" spans="1:9">
      <c r="A3" s="4469" t="s">
        <v>3871</v>
      </c>
      <c r="B3">
        <v>3996.71</v>
      </c>
      <c r="C3">
        <v>63.75</v>
      </c>
      <c r="F3" s="4469" t="s">
        <v>3872</v>
      </c>
      <c r="I3" s="4469" t="s">
        <v>3873</v>
      </c>
    </row>
    <row r="4" spans="1:9">
      <c r="A4" s="4469" t="s">
        <v>3874</v>
      </c>
      <c r="B4">
        <v>152.22</v>
      </c>
      <c r="H4" s="4469" t="s">
        <v>3875</v>
      </c>
      <c r="I4">
        <v>18</v>
      </c>
    </row>
    <row r="5" spans="1:9">
      <c r="A5" s="4469" t="s">
        <v>3876</v>
      </c>
      <c r="B5">
        <v>2695.74</v>
      </c>
      <c r="C5">
        <v>43.17</v>
      </c>
      <c r="H5" s="4469" t="s">
        <v>3877</v>
      </c>
      <c r="I5">
        <v>3</v>
      </c>
    </row>
    <row r="6" spans="1:9">
      <c r="A6">
        <v>1</v>
      </c>
      <c r="B6">
        <v>2314.3200000000002</v>
      </c>
      <c r="C6">
        <v>42.93</v>
      </c>
      <c r="F6" s="4469" t="s">
        <v>3868</v>
      </c>
      <c r="H6" s="4469" t="s">
        <v>3878</v>
      </c>
      <c r="I6">
        <f>I7+I8</f>
        <v>39707.960000000006</v>
      </c>
    </row>
    <row r="7" spans="1:9">
      <c r="A7">
        <v>2</v>
      </c>
      <c r="B7">
        <v>2091.71</v>
      </c>
      <c r="H7" s="4469" t="s">
        <v>3875</v>
      </c>
      <c r="I7">
        <f>B29+B30</f>
        <v>32488.930000000008</v>
      </c>
    </row>
    <row r="8" spans="1:9">
      <c r="A8">
        <v>3</v>
      </c>
      <c r="B8">
        <v>2095.34</v>
      </c>
      <c r="H8" s="4469" t="s">
        <v>3877</v>
      </c>
      <c r="I8">
        <f>B31</f>
        <v>7219.0300000000016</v>
      </c>
    </row>
    <row r="9" spans="1:9">
      <c r="A9">
        <v>4</v>
      </c>
      <c r="B9">
        <v>2095.34</v>
      </c>
      <c r="F9" s="4469" t="s">
        <v>3879</v>
      </c>
      <c r="G9" s="4469" t="s">
        <v>3880</v>
      </c>
      <c r="I9">
        <f>I10+I13+I14</f>
        <v>5412</v>
      </c>
    </row>
    <row r="10" spans="1:9">
      <c r="A10">
        <v>5</v>
      </c>
      <c r="B10">
        <v>2095.34</v>
      </c>
      <c r="G10" s="4469" t="s">
        <v>3881</v>
      </c>
      <c r="H10" s="4469" t="s">
        <v>3878</v>
      </c>
      <c r="I10">
        <f>ROUND((I11*I7+I12*I8)/I6,0)</f>
        <v>2254</v>
      </c>
    </row>
    <row r="11" spans="1:9">
      <c r="A11">
        <v>6</v>
      </c>
      <c r="B11">
        <v>2095.34</v>
      </c>
      <c r="H11" s="4469" t="s">
        <v>3875</v>
      </c>
      <c r="I11">
        <v>1670</v>
      </c>
    </row>
    <row r="12" spans="1:9">
      <c r="A12">
        <v>7</v>
      </c>
      <c r="B12">
        <v>2095.34</v>
      </c>
      <c r="H12" s="4469" t="s">
        <v>3877</v>
      </c>
      <c r="I12">
        <v>4880</v>
      </c>
    </row>
    <row r="13" spans="1:9">
      <c r="A13">
        <v>8</v>
      </c>
      <c r="B13">
        <v>2095.34</v>
      </c>
      <c r="G13" s="4469" t="s">
        <v>3882</v>
      </c>
      <c r="I13">
        <v>800</v>
      </c>
    </row>
    <row r="14" spans="1:9">
      <c r="A14">
        <v>9</v>
      </c>
      <c r="B14">
        <v>1614.81</v>
      </c>
      <c r="G14" s="4469" t="s">
        <v>3883</v>
      </c>
      <c r="I14">
        <v>2358</v>
      </c>
    </row>
    <row r="15" spans="1:9">
      <c r="A15">
        <v>10</v>
      </c>
      <c r="B15">
        <v>1614.81</v>
      </c>
    </row>
    <row r="16" spans="1:9">
      <c r="A16">
        <v>11</v>
      </c>
      <c r="B16">
        <v>1614.81</v>
      </c>
      <c r="G16" s="4469" t="s">
        <v>3884</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69" t="s">
        <v>3885</v>
      </c>
      <c r="B24">
        <v>23.51</v>
      </c>
    </row>
    <row r="25" spans="1:4">
      <c r="A25" s="4469" t="s">
        <v>3886</v>
      </c>
      <c r="B25">
        <v>258.45999999999998</v>
      </c>
    </row>
    <row r="26" spans="1:4">
      <c r="B26">
        <f>SUM(B2:B25)</f>
        <v>43373.26</v>
      </c>
      <c r="C26">
        <f>SUM(C2:C25)</f>
        <v>3665.2999999999997</v>
      </c>
      <c r="D26">
        <f>B26-C26</f>
        <v>39707.96</v>
      </c>
    </row>
    <row r="29" spans="1:4">
      <c r="A29" s="4469" t="s">
        <v>3887</v>
      </c>
      <c r="B29">
        <f>SUM(B6:B23)-C6</f>
        <v>32206.960000000006</v>
      </c>
    </row>
    <row r="30" spans="1:4">
      <c r="A30" s="4469" t="s">
        <v>3888</v>
      </c>
      <c r="B30">
        <f>B24+B25</f>
        <v>281.96999999999997</v>
      </c>
    </row>
    <row r="31" spans="1:4">
      <c r="A31" s="4469" t="s">
        <v>3889</v>
      </c>
      <c r="B31">
        <f>SUM(B2:B5)-C2-C3-C5</f>
        <v>7219.0300000000016</v>
      </c>
    </row>
    <row r="32" spans="1:4">
      <c r="A32" s="4469" t="s">
        <v>3890</v>
      </c>
    </row>
    <row r="33" spans="2:2">
      <c r="B33">
        <f>SUM(B29:B32)</f>
        <v>39707.960000000006</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14" t="s">
        <v>936</v>
      </c>
      <c r="B1" s="4514"/>
      <c r="C1" s="4514"/>
      <c r="D1" s="4514"/>
    </row>
    <row r="2" spans="1:4" ht="18">
      <c r="A2" s="4515" t="s">
        <v>920</v>
      </c>
      <c r="B2" s="4515"/>
      <c r="C2" s="4515"/>
      <c r="D2" s="4515"/>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15" t="s">
        <v>926</v>
      </c>
      <c r="B6" s="4515"/>
      <c r="C6" s="4515"/>
      <c r="D6" s="4515"/>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6" t="s">
        <v>929</v>
      </c>
      <c r="B11" s="4508"/>
      <c r="C11" s="4508"/>
      <c r="D11" s="4508"/>
    </row>
    <row r="12" spans="1:4" ht="15.75">
      <c r="A12" s="4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3"/>
      <c r="C12" s="4513"/>
      <c r="D12" s="4513"/>
    </row>
    <row r="13" spans="1:4" ht="30" customHeight="1">
      <c r="A13" s="4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3"/>
      <c r="C13" s="4513"/>
      <c r="D13" s="4513"/>
    </row>
    <row r="14" spans="1:4" ht="15.75" customHeight="1">
      <c r="A14" s="4508" t="str">
        <f>IF(项目基本情况!B8="抵押","4.本次评估估价师所知悉的法定优先受偿款情况说明如下：","——")</f>
        <v>4.本次评估估价师所知悉的法定优先受偿款情况说明如下：</v>
      </c>
      <c r="B14" s="4513"/>
      <c r="C14" s="4513"/>
      <c r="D14" s="4513"/>
    </row>
    <row r="15" spans="1:4" ht="42" customHeight="1">
      <c r="A15" s="4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8"/>
      <c r="C15" s="4508"/>
      <c r="D15" s="4508"/>
    </row>
    <row r="16" spans="1:4" ht="30" customHeight="1">
      <c r="A16" s="4510" t="s">
        <v>930</v>
      </c>
      <c r="B16" s="4510"/>
      <c r="C16" s="4510"/>
      <c r="D16" s="4510"/>
    </row>
    <row r="17" spans="1:4" ht="144" customHeight="1">
      <c r="A17" s="4510" t="s">
        <v>931</v>
      </c>
      <c r="B17" s="4510"/>
      <c r="C17" s="4510"/>
      <c r="D17" s="4510"/>
    </row>
    <row r="18" spans="1:4" ht="15.75" customHeight="1">
      <c r="A18" s="4508" t="str">
        <f>IF(项目基本情况!B8="抵押",结果表!K120,"——")</f>
        <v>故，本次评估不存在估价师知悉的法定优先受偿款</v>
      </c>
      <c r="B18" s="4508"/>
      <c r="C18" s="4508"/>
      <c r="D18" s="4508"/>
    </row>
    <row r="19" spans="1:4" ht="46.5" customHeight="1">
      <c r="A19" s="4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8"/>
      <c r="C19" s="4508"/>
      <c r="D19" s="4508"/>
    </row>
    <row r="20" spans="1:4" ht="57.75" customHeight="1">
      <c r="A20" s="4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8"/>
      <c r="C20" s="4508"/>
      <c r="D20" s="4508"/>
    </row>
    <row r="21" spans="1:4" ht="57.75" customHeight="1">
      <c r="A21" s="4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1"/>
      <c r="C21" s="4511"/>
      <c r="D21" s="4511"/>
    </row>
    <row r="22" spans="1:4" ht="18.75" customHeight="1">
      <c r="A22" s="4512" t="s">
        <v>932</v>
      </c>
      <c r="B22" s="4512"/>
      <c r="C22" s="4512"/>
      <c r="D22" s="4512"/>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9">
        <v>42551</v>
      </c>
      <c r="D31" s="450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22" t="s">
        <v>943</v>
      </c>
      <c r="B15" s="4517" t="s">
        <v>107</v>
      </c>
      <c r="C15" s="4518"/>
    </row>
    <row r="16" spans="1:7" ht="13.5">
      <c r="A16" s="4523"/>
      <c r="B16" s="4517" t="s">
        <v>40</v>
      </c>
      <c r="C16" s="4518"/>
    </row>
    <row r="17" spans="1:3" ht="13.5">
      <c r="A17" s="4523"/>
      <c r="B17" s="4520" t="s">
        <v>944</v>
      </c>
      <c r="C17" s="1177" t="s">
        <v>943</v>
      </c>
    </row>
    <row r="18" spans="1:3" ht="13.5">
      <c r="A18" s="4523"/>
      <c r="B18" s="4520"/>
      <c r="C18" s="1177" t="s">
        <v>945</v>
      </c>
    </row>
    <row r="19" spans="1:3" ht="13.5">
      <c r="A19" s="4523"/>
      <c r="B19" s="4520"/>
      <c r="C19" s="1177" t="s">
        <v>946</v>
      </c>
    </row>
    <row r="20" spans="1:3" ht="13.5">
      <c r="A20" s="4524"/>
      <c r="B20" s="4519" t="s">
        <v>947</v>
      </c>
      <c r="C20" s="4518"/>
    </row>
    <row r="21" spans="1:3" ht="13.5">
      <c r="A21" s="1178" t="s">
        <v>948</v>
      </c>
      <c r="B21" s="1179"/>
      <c r="C21" s="1180"/>
    </row>
    <row r="22" spans="1:3" ht="13.5">
      <c r="A22" s="4521" t="s">
        <v>949</v>
      </c>
      <c r="B22" s="4519" t="s">
        <v>950</v>
      </c>
      <c r="C22" s="4518"/>
    </row>
    <row r="23" spans="1:3" ht="13.5">
      <c r="A23" s="4521"/>
      <c r="B23" s="4519" t="s">
        <v>951</v>
      </c>
      <c r="C23" s="4518"/>
    </row>
    <row r="24" spans="1:3" ht="13.5">
      <c r="A24" s="4521"/>
      <c r="B24" s="4519" t="s">
        <v>952</v>
      </c>
      <c r="C24" s="4518"/>
    </row>
    <row r="25" spans="1:3" ht="13.5">
      <c r="A25" s="4521"/>
      <c r="B25" s="4520" t="s">
        <v>953</v>
      </c>
      <c r="C25" s="1177" t="s">
        <v>954</v>
      </c>
    </row>
    <row r="26" spans="1:3" ht="13.5">
      <c r="A26" s="4521"/>
      <c r="B26" s="4520"/>
      <c r="C26" s="1177" t="s">
        <v>955</v>
      </c>
    </row>
    <row r="27" spans="1:3" ht="13.5">
      <c r="A27" s="4521"/>
      <c r="B27" s="4520"/>
      <c r="C27" s="1177" t="s">
        <v>956</v>
      </c>
    </row>
    <row r="28" spans="1:3" ht="13.5">
      <c r="A28" s="4521"/>
      <c r="B28" s="4520"/>
      <c r="C28" s="1177" t="s">
        <v>957</v>
      </c>
    </row>
    <row r="29" spans="1:3" ht="13.5">
      <c r="A29" s="4521"/>
      <c r="B29" s="4520"/>
      <c r="C29" s="1177" t="s">
        <v>958</v>
      </c>
    </row>
    <row r="30" spans="1:3" ht="13.5">
      <c r="A30" s="4521"/>
      <c r="B30" s="4520"/>
      <c r="C30" s="1177" t="s">
        <v>959</v>
      </c>
    </row>
    <row r="31" spans="1:3" ht="13.5">
      <c r="A31" s="4521"/>
      <c r="B31" s="4520"/>
      <c r="C31" s="1177" t="s">
        <v>960</v>
      </c>
    </row>
    <row r="32" spans="1:3" ht="13.5">
      <c r="A32" s="4521"/>
      <c r="B32" s="4520"/>
      <c r="C32" s="1177" t="s">
        <v>961</v>
      </c>
    </row>
    <row r="33" spans="1:3" ht="13.5">
      <c r="A33" s="4521"/>
      <c r="B33" s="4520"/>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46045</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25" t="s">
        <v>2075</v>
      </c>
      <c r="B17" s="4525"/>
      <c r="C17" s="4525"/>
      <c r="D17" s="4525"/>
      <c r="E17" s="4525"/>
      <c r="F17" s="4525"/>
      <c r="G17" s="4525"/>
      <c r="H17" s="4525"/>
    </row>
    <row r="18" spans="1:8" ht="24" customHeight="1">
      <c r="A18" s="4526" t="s">
        <v>2076</v>
      </c>
      <c r="B18" s="4526"/>
      <c r="C18" s="4526"/>
      <c r="D18" s="1883"/>
      <c r="E18" s="4527" t="s">
        <v>2077</v>
      </c>
      <c r="F18" s="4526"/>
      <c r="G18" s="4526"/>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土地案例</vt:lpstr>
      <vt:lpstr>地价-分区</vt:lpstr>
      <vt:lpstr>地价</vt:lpstr>
      <vt:lpstr>区片价</vt:lpstr>
      <vt:lpstr>存贷款利率</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2026-01-23T11:03:05Z</dcterms:modified>
</cp:coreProperties>
</file>